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Svv4p16b01\tergia$\documents\Terje\Arbeid\Håndbøker\Håndbok017\Modeller for 017\"/>
    </mc:Choice>
  </mc:AlternateContent>
  <bookViews>
    <workbookView xWindow="0" yWindow="0" windowWidth="38400" windowHeight="21528"/>
  </bookViews>
  <sheets>
    <sheet name="Venstresvingefelt" sheetId="7" r:id="rId1"/>
    <sheet name="Beregning retardasjonsstrekning" sheetId="8" state="hidden" r:id="rId2"/>
    <sheet name="Modell kømagasin" sheetId="10" state="hidden" r:id="rId3"/>
    <sheet name="Tabeller" sheetId="9" state="hidden" r:id="rId4"/>
  </sheets>
  <definedNames>
    <definedName name="GyldigeFartsgrenser">#REF!</definedName>
    <definedName name="GyldigeFG">Tabeller!$B$4:$B$10</definedName>
    <definedName name="GyldigeKat">Tabeller!#REF!</definedName>
    <definedName name="GyldigeKjt">#REF!</definedName>
    <definedName name="GyldigeRampefarter">#REF!</definedName>
    <definedName name="GyldigeS">Tabeller!$E$4:$E$14</definedName>
    <definedName name="GyldigeStigninger">#REF!</definedName>
    <definedName name="GyldigeV0">#REF!</definedName>
    <definedName name="GyldigeVF">#REF!</definedName>
    <definedName name="_xlnm.Print_Area" localSheetId="1">'Beregning retardasjonsstrekning'!$A$1:$L$51</definedName>
    <definedName name="_xlnm.Print_Area" localSheetId="0">Venstresvingefelt!$A$1:$J$75</definedName>
  </definedNames>
  <calcPr calcId="152511"/>
</workbook>
</file>

<file path=xl/calcChain.xml><?xml version="1.0" encoding="utf-8"?>
<calcChain xmlns="http://schemas.openxmlformats.org/spreadsheetml/2006/main">
  <c r="D8" i="10" l="1"/>
  <c r="C8" i="10" s="1"/>
  <c r="E28" i="10"/>
  <c r="E38" i="10" s="1"/>
  <c r="E39" i="10" s="1"/>
  <c r="E23" i="10"/>
  <c r="E24" i="10"/>
  <c r="F5" i="10"/>
  <c r="G5" i="10" s="1"/>
  <c r="C22" i="7"/>
  <c r="F4" i="10"/>
  <c r="F41" i="10" s="1"/>
  <c r="G41" i="10" s="1"/>
  <c r="E30" i="10"/>
  <c r="G54" i="7"/>
  <c r="H32" i="8"/>
  <c r="F24" i="8"/>
  <c r="H34" i="8" s="1"/>
  <c r="F4" i="9"/>
  <c r="C4" i="9"/>
  <c r="F33" i="10"/>
  <c r="K32" i="8"/>
  <c r="J32" i="8"/>
  <c r="I32" i="8"/>
  <c r="I46" i="8" s="1"/>
  <c r="G32" i="8"/>
  <c r="F32" i="8"/>
  <c r="E32" i="8"/>
  <c r="F28" i="8"/>
  <c r="I34" i="8"/>
  <c r="K34" i="8"/>
  <c r="K39" i="8" s="1"/>
  <c r="I47" i="8" l="1"/>
  <c r="I42" i="8"/>
  <c r="G4" i="10"/>
  <c r="K44" i="8"/>
  <c r="I39" i="8"/>
  <c r="I45" i="8"/>
  <c r="K47" i="8"/>
  <c r="K40" i="8"/>
  <c r="K41" i="8"/>
  <c r="I37" i="8"/>
  <c r="H46" i="8"/>
  <c r="H43" i="8"/>
  <c r="H45" i="8"/>
  <c r="H40" i="8"/>
  <c r="H38" i="8"/>
  <c r="H44" i="8"/>
  <c r="H42" i="8"/>
  <c r="H47" i="8"/>
  <c r="H41" i="8"/>
  <c r="H39" i="8"/>
  <c r="H37" i="8"/>
  <c r="K45" i="8"/>
  <c r="K42" i="8"/>
  <c r="I40" i="8"/>
  <c r="K38" i="8"/>
  <c r="J37" i="8"/>
  <c r="E34" i="8"/>
  <c r="E45" i="8" s="1"/>
  <c r="I43" i="8"/>
  <c r="K37" i="8"/>
  <c r="K46" i="8"/>
  <c r="K43" i="8"/>
  <c r="I44" i="8"/>
  <c r="J34" i="8"/>
  <c r="J43" i="8" s="1"/>
  <c r="F34" i="8"/>
  <c r="G34" i="8"/>
  <c r="G47" i="8" s="1"/>
  <c r="I41" i="8"/>
  <c r="I38" i="8"/>
  <c r="I4" i="10"/>
  <c r="J4" i="10" s="1"/>
  <c r="E44" i="10"/>
  <c r="F44" i="10" s="1"/>
  <c r="G44" i="10" s="1"/>
  <c r="E29" i="10"/>
  <c r="F29" i="10" s="1"/>
  <c r="F28" i="10"/>
  <c r="F42" i="10"/>
  <c r="G42" i="10" s="1"/>
  <c r="E41" i="10"/>
  <c r="E42" i="10"/>
  <c r="E43" i="10" s="1"/>
  <c r="E11" i="10"/>
  <c r="E19" i="10" s="1"/>
  <c r="G41" i="8" l="1"/>
  <c r="E42" i="8"/>
  <c r="E40" i="8"/>
  <c r="J38" i="8"/>
  <c r="J44" i="8"/>
  <c r="J42" i="8"/>
  <c r="F43" i="8"/>
  <c r="F47" i="8"/>
  <c r="F40" i="8"/>
  <c r="F38" i="8"/>
  <c r="F45" i="8"/>
  <c r="F46" i="8"/>
  <c r="F44" i="8"/>
  <c r="F37" i="8"/>
  <c r="F41" i="8"/>
  <c r="F42" i="8"/>
  <c r="E54" i="7" s="1"/>
  <c r="F39" i="8"/>
  <c r="G46" i="8"/>
  <c r="G43" i="8"/>
  <c r="G40" i="8"/>
  <c r="G37" i="8"/>
  <c r="G45" i="8"/>
  <c r="G38" i="8"/>
  <c r="G44" i="8"/>
  <c r="G42" i="8"/>
  <c r="J45" i="8"/>
  <c r="J47" i="8"/>
  <c r="J46" i="8"/>
  <c r="J40" i="8"/>
  <c r="E46" i="8"/>
  <c r="E38" i="8"/>
  <c r="E43" i="8"/>
  <c r="E39" i="8"/>
  <c r="E41" i="8"/>
  <c r="E47" i="8"/>
  <c r="E44" i="8"/>
  <c r="J41" i="8"/>
  <c r="E37" i="8"/>
  <c r="J39" i="8"/>
  <c r="G39" i="8"/>
  <c r="E18" i="10"/>
  <c r="E45" i="10"/>
  <c r="E48" i="10" s="1"/>
  <c r="E20" i="10"/>
  <c r="E14" i="10"/>
  <c r="E16" i="10" s="1"/>
  <c r="E47" i="10" l="1"/>
  <c r="E50" i="10" s="1"/>
  <c r="E52" i="10" s="1"/>
  <c r="F38" i="10" s="1"/>
  <c r="E49" i="10"/>
  <c r="G43" i="10"/>
  <c r="G45" i="10" s="1"/>
  <c r="E51" i="10" l="1"/>
  <c r="E54" i="10" s="1"/>
  <c r="E55" i="10" s="1"/>
  <c r="E57" i="10" s="1"/>
  <c r="F39" i="10"/>
  <c r="F43" i="10" s="1"/>
  <c r="F45" i="10" s="1"/>
  <c r="G47" i="10"/>
  <c r="G48" i="10"/>
  <c r="E56" i="10" l="1"/>
  <c r="F47" i="10"/>
  <c r="F50" i="10" s="1"/>
  <c r="F51" i="10" s="1"/>
  <c r="F54" i="10" s="1"/>
  <c r="F48" i="10"/>
  <c r="F49" i="10" s="1"/>
  <c r="E58" i="10" l="1"/>
  <c r="E55" i="7" s="1"/>
  <c r="C21" i="7" s="1"/>
</calcChain>
</file>

<file path=xl/sharedStrings.xml><?xml version="1.0" encoding="utf-8"?>
<sst xmlns="http://schemas.openxmlformats.org/spreadsheetml/2006/main" count="284" uniqueCount="225">
  <si>
    <t>Stigning</t>
  </si>
  <si>
    <t>s</t>
  </si>
  <si>
    <t>[m]</t>
  </si>
  <si>
    <t>[%]</t>
  </si>
  <si>
    <t>VENSTRESVINGEFELT</t>
  </si>
  <si>
    <t>Venstresvingefelt</t>
  </si>
  <si>
    <t>Versjon SJ /AAa / 2010-11-28</t>
  </si>
  <si>
    <r>
      <t xml:space="preserve">Beregning av retardasjonsstrekning </t>
    </r>
    <r>
      <rPr>
        <b/>
        <sz val="22"/>
        <color indexed="8"/>
        <rFont val="Calibri"/>
        <family val="2"/>
      </rPr>
      <t>L</t>
    </r>
    <r>
      <rPr>
        <b/>
        <vertAlign val="subscript"/>
        <sz val="22"/>
        <color indexed="8"/>
        <rFont val="Calibri"/>
        <family val="2"/>
      </rPr>
      <t>r</t>
    </r>
    <r>
      <rPr>
        <b/>
        <sz val="22"/>
        <color indexed="8"/>
        <rFont val="Calibri"/>
        <family val="2"/>
      </rPr>
      <t xml:space="preserve"> ved ulike hastighetsendringer, stigning og fall</t>
    </r>
  </si>
  <si>
    <t>Forutsetninger:</t>
  </si>
  <si>
    <t>1.</t>
  </si>
  <si>
    <r>
      <t xml:space="preserve">Utgangspunkt er fartsgrensen </t>
    </r>
    <r>
      <rPr>
        <b/>
        <sz val="16"/>
        <color indexed="8"/>
        <rFont val="Calibri"/>
        <family val="2"/>
      </rPr>
      <t>V</t>
    </r>
    <r>
      <rPr>
        <b/>
        <vertAlign val="subscript"/>
        <sz val="16"/>
        <color indexed="8"/>
        <rFont val="Calibri"/>
        <family val="2"/>
      </rPr>
      <t>FG</t>
    </r>
    <r>
      <rPr>
        <b/>
        <sz val="16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(km/t), oppgitt i Tabellrad L2</t>
    </r>
  </si>
  <si>
    <t>2.</t>
  </si>
  <si>
    <t>Det forutsettes at farten er redusert til X % av fartsgrensen før venstresvingefeltet starter (der X er gitt under)</t>
  </si>
  <si>
    <r>
      <t xml:space="preserve">     Fart når nedbremsing starter, </t>
    </r>
    <r>
      <rPr>
        <b/>
        <sz val="16"/>
        <color indexed="8"/>
        <rFont val="Calibri"/>
        <family val="2"/>
      </rPr>
      <t>V</t>
    </r>
    <r>
      <rPr>
        <b/>
        <vertAlign val="subscript"/>
        <sz val="16"/>
        <color indexed="8"/>
        <rFont val="Calibri"/>
        <family val="2"/>
      </rPr>
      <t>0</t>
    </r>
    <r>
      <rPr>
        <b/>
        <sz val="16"/>
        <color indexed="8"/>
        <rFont val="Calibri"/>
        <family val="2"/>
      </rPr>
      <t xml:space="preserve"> = V</t>
    </r>
    <r>
      <rPr>
        <b/>
        <vertAlign val="subscript"/>
        <sz val="16"/>
        <color indexed="8"/>
        <rFont val="Calibri"/>
        <family val="2"/>
      </rPr>
      <t>FG</t>
    </r>
    <r>
      <rPr>
        <b/>
        <sz val="16"/>
        <color indexed="8"/>
        <rFont val="Calibri"/>
        <family val="2"/>
      </rPr>
      <t xml:space="preserve"> * X</t>
    </r>
    <r>
      <rPr>
        <sz val="14"/>
        <color indexed="8"/>
        <rFont val="Calibri"/>
        <family val="2"/>
      </rPr>
      <t xml:space="preserve"> , beregnet i Tabellrad L3</t>
    </r>
  </si>
  <si>
    <t>3.</t>
  </si>
  <si>
    <t>Formel for retardasjonsstrekning:</t>
  </si>
  <si>
    <r>
      <t xml:space="preserve">   L</t>
    </r>
    <r>
      <rPr>
        <b/>
        <vertAlign val="subscript"/>
        <sz val="16"/>
        <color indexed="8"/>
        <rFont val="Calibri"/>
        <family val="2"/>
      </rPr>
      <t>r</t>
    </r>
    <r>
      <rPr>
        <b/>
        <sz val="16"/>
        <color indexed="8"/>
        <rFont val="Calibri"/>
        <family val="2"/>
      </rPr>
      <t xml:space="preserve"> = V</t>
    </r>
    <r>
      <rPr>
        <b/>
        <vertAlign val="subscript"/>
        <sz val="16"/>
        <color indexed="8"/>
        <rFont val="Calibri"/>
        <family val="2"/>
      </rPr>
      <t>0</t>
    </r>
    <r>
      <rPr>
        <b/>
        <vertAlign val="superscript"/>
        <sz val="16"/>
        <color indexed="8"/>
        <rFont val="Calibri"/>
        <family val="2"/>
      </rPr>
      <t>2</t>
    </r>
    <r>
      <rPr>
        <b/>
        <sz val="16"/>
        <color indexed="8"/>
        <rFont val="Calibri"/>
        <family val="2"/>
      </rPr>
      <t>/ [254,3 ∙ (μ + d)]</t>
    </r>
  </si>
  <si>
    <r>
      <rPr>
        <b/>
        <sz val="16"/>
        <color indexed="8"/>
        <rFont val="Calibri"/>
        <family val="2"/>
      </rPr>
      <t>μ</t>
    </r>
    <r>
      <rPr>
        <sz val="16"/>
        <color indexed="8"/>
        <rFont val="Calibri"/>
        <family val="2"/>
      </rPr>
      <t xml:space="preserve"> = basis friksjonskoeff. (iflg HB265), sikk.faktor 1,5, Tabellrad L4</t>
    </r>
  </si>
  <si>
    <r>
      <rPr>
        <b/>
        <sz val="16"/>
        <color indexed="8"/>
        <rFont val="Calibri"/>
        <family val="2"/>
      </rPr>
      <t xml:space="preserve">d </t>
    </r>
    <r>
      <rPr>
        <sz val="16"/>
        <color indexed="8"/>
        <rFont val="Calibri"/>
        <family val="2"/>
      </rPr>
      <t>= stigning (+) eller fall (-), %, se kolonne for gradient i tabell</t>
    </r>
  </si>
  <si>
    <r>
      <t xml:space="preserve">   L</t>
    </r>
    <r>
      <rPr>
        <b/>
        <vertAlign val="subscript"/>
        <sz val="16"/>
        <color indexed="8"/>
        <rFont val="Calibri"/>
        <family val="2"/>
      </rPr>
      <t>r</t>
    </r>
    <r>
      <rPr>
        <b/>
        <sz val="16"/>
        <color indexed="8"/>
        <rFont val="Calibri"/>
        <family val="2"/>
      </rPr>
      <t xml:space="preserve"> = V</t>
    </r>
    <r>
      <rPr>
        <b/>
        <vertAlign val="subscript"/>
        <sz val="16"/>
        <color indexed="8"/>
        <rFont val="Calibri"/>
        <family val="2"/>
      </rPr>
      <t>0</t>
    </r>
    <r>
      <rPr>
        <b/>
        <vertAlign val="superscript"/>
        <sz val="16"/>
        <color indexed="8"/>
        <rFont val="Calibri"/>
        <family val="2"/>
      </rPr>
      <t>2</t>
    </r>
    <r>
      <rPr>
        <b/>
        <sz val="16"/>
        <color indexed="8"/>
        <rFont val="Calibri"/>
        <family val="2"/>
      </rPr>
      <t>/ [254,3 ∙ (f</t>
    </r>
    <r>
      <rPr>
        <b/>
        <vertAlign val="subscript"/>
        <sz val="16"/>
        <color indexed="8"/>
        <rFont val="Calibri"/>
        <family val="2"/>
      </rPr>
      <t>bu</t>
    </r>
    <r>
      <rPr>
        <b/>
        <sz val="16"/>
        <color indexed="8"/>
        <rFont val="Calibri"/>
        <family val="2"/>
      </rPr>
      <t xml:space="preserve"> + d)]</t>
    </r>
  </si>
  <si>
    <r>
      <rPr>
        <b/>
        <sz val="16"/>
        <color indexed="8"/>
        <rFont val="Calibri"/>
        <family val="2"/>
      </rPr>
      <t>f</t>
    </r>
    <r>
      <rPr>
        <b/>
        <vertAlign val="subscript"/>
        <sz val="16"/>
        <color indexed="8"/>
        <rFont val="Calibri"/>
        <family val="2"/>
      </rPr>
      <t>bu</t>
    </r>
    <r>
      <rPr>
        <sz val="16"/>
        <color indexed="8"/>
        <rFont val="Calibri"/>
        <family val="2"/>
      </rPr>
      <t xml:space="preserve"> = utnyttet friksjonskoeffisient</t>
    </r>
  </si>
  <si>
    <r>
      <t xml:space="preserve">     Beregnede verdier for</t>
    </r>
    <r>
      <rPr>
        <b/>
        <sz val="16"/>
        <color indexed="8"/>
        <rFont val="Calibri"/>
        <family val="2"/>
      </rPr>
      <t xml:space="preserve"> f</t>
    </r>
    <r>
      <rPr>
        <b/>
        <vertAlign val="subscript"/>
        <sz val="16"/>
        <color indexed="8"/>
        <rFont val="Calibri"/>
        <family val="2"/>
      </rPr>
      <t>bu</t>
    </r>
    <r>
      <rPr>
        <sz val="14"/>
        <color indexed="8"/>
        <rFont val="Calibri"/>
        <family val="2"/>
      </rPr>
      <t xml:space="preserve"> er angitt i Tabellrad L5</t>
    </r>
  </si>
  <si>
    <t>4.</t>
  </si>
  <si>
    <r>
      <t xml:space="preserve">Aktuelle retardasjonsverdier </t>
    </r>
    <r>
      <rPr>
        <b/>
        <sz val="16"/>
        <color indexed="8"/>
        <rFont val="Calibri"/>
        <family val="2"/>
      </rPr>
      <t>a</t>
    </r>
    <r>
      <rPr>
        <b/>
        <vertAlign val="subscript"/>
        <sz val="16"/>
        <color indexed="8"/>
        <rFont val="Calibri"/>
        <family val="2"/>
      </rPr>
      <t>v</t>
    </r>
    <r>
      <rPr>
        <sz val="16"/>
        <color indexed="8"/>
        <rFont val="Calibri"/>
        <family val="2"/>
      </rPr>
      <t xml:space="preserve"> (m/s2):</t>
    </r>
  </si>
  <si>
    <t xml:space="preserve">     Kraftig nedbremsing</t>
  </si>
  <si>
    <t>4,0 m/s2</t>
  </si>
  <si>
    <t xml:space="preserve">     Normal nedbremsing</t>
  </si>
  <si>
    <t>3,0 m/s2</t>
  </si>
  <si>
    <t xml:space="preserve">     Lett nedbremsing</t>
  </si>
  <si>
    <t>2,0 m/s2</t>
  </si>
  <si>
    <r>
      <t xml:space="preserve">Valgt retardasjon </t>
    </r>
    <r>
      <rPr>
        <b/>
        <sz val="16"/>
        <color indexed="8"/>
        <rFont val="Calibri"/>
        <family val="2"/>
      </rPr>
      <t>a</t>
    </r>
    <r>
      <rPr>
        <b/>
        <vertAlign val="subscript"/>
        <sz val="16"/>
        <color indexed="8"/>
        <rFont val="Calibri"/>
        <family val="2"/>
      </rPr>
      <t>v</t>
    </r>
    <r>
      <rPr>
        <sz val="16"/>
        <color indexed="8"/>
        <rFont val="Calibri"/>
        <family val="2"/>
      </rPr>
      <t xml:space="preserve"> (m/s2): </t>
    </r>
  </si>
  <si>
    <t>Legg inn valgte verdier</t>
  </si>
  <si>
    <t>Prosentverdi for utgangsfart:</t>
  </si>
  <si>
    <t>i gule celler</t>
  </si>
  <si>
    <t>5.</t>
  </si>
  <si>
    <r>
      <t>Utnyttet friksjonskoeffisient, f</t>
    </r>
    <r>
      <rPr>
        <vertAlign val="subscript"/>
        <sz val="16"/>
        <color indexed="8"/>
        <rFont val="Calibri"/>
        <family val="2"/>
      </rPr>
      <t>bu</t>
    </r>
    <r>
      <rPr>
        <sz val="16"/>
        <color indexed="8"/>
        <rFont val="Calibri"/>
        <family val="2"/>
      </rPr>
      <t>:</t>
    </r>
  </si>
  <si>
    <r>
      <t>f</t>
    </r>
    <r>
      <rPr>
        <b/>
        <vertAlign val="subscript"/>
        <sz val="16"/>
        <color indexed="8"/>
        <rFont val="Calibri"/>
        <family val="2"/>
      </rPr>
      <t>bu</t>
    </r>
    <r>
      <rPr>
        <b/>
        <sz val="16"/>
        <color indexed="8"/>
        <rFont val="Calibri"/>
        <family val="2"/>
      </rPr>
      <t xml:space="preserve"> = a</t>
    </r>
    <r>
      <rPr>
        <b/>
        <vertAlign val="subscript"/>
        <sz val="16"/>
        <color indexed="8"/>
        <rFont val="Calibri"/>
        <family val="2"/>
      </rPr>
      <t xml:space="preserve">v </t>
    </r>
    <r>
      <rPr>
        <b/>
        <sz val="16"/>
        <color indexed="8"/>
        <rFont val="Calibri"/>
        <family val="2"/>
      </rPr>
      <t>/10</t>
    </r>
  </si>
  <si>
    <t>Beregnet verdi:</t>
  </si>
  <si>
    <r>
      <t>f</t>
    </r>
    <r>
      <rPr>
        <b/>
        <vertAlign val="subscript"/>
        <sz val="14"/>
        <color indexed="8"/>
        <rFont val="Calibri"/>
        <family val="2"/>
      </rPr>
      <t>bu</t>
    </r>
    <r>
      <rPr>
        <b/>
        <sz val="14"/>
        <color indexed="8"/>
        <rFont val="Calibri"/>
        <family val="2"/>
      </rPr>
      <t>=</t>
    </r>
  </si>
  <si>
    <t>TABELLVERK FOR BEREGNING AV LENGDE AV RETARDASJONSSTREKNING SOM FUNKSJON AV FARTSNIVÅ OG STIGNING/FALL</t>
  </si>
  <si>
    <t>Rad nr:</t>
  </si>
  <si>
    <t>L1:</t>
  </si>
  <si>
    <t>Formel for beregning av retardasjonsstreknkning:</t>
  </si>
  <si>
    <t>Se formel over og arket definisjoner og verdier</t>
  </si>
  <si>
    <t>L2:</t>
  </si>
  <si>
    <r>
      <t>Fartsgrense V</t>
    </r>
    <r>
      <rPr>
        <vertAlign val="subscript"/>
        <sz val="14"/>
        <color indexed="8"/>
        <rFont val="Calibri"/>
        <family val="2"/>
      </rPr>
      <t>FG</t>
    </r>
    <r>
      <rPr>
        <sz val="14"/>
        <color indexed="8"/>
        <rFont val="Calibri"/>
        <family val="2"/>
      </rPr>
      <t xml:space="preserve"> (km/t)</t>
    </r>
    <r>
      <rPr>
        <vertAlign val="subscript"/>
        <sz val="14"/>
        <color indexed="8"/>
        <rFont val="Calibri"/>
        <family val="2"/>
      </rPr>
      <t xml:space="preserve">     </t>
    </r>
  </si>
  <si>
    <t>L3:</t>
  </si>
  <si>
    <r>
      <t>Utgangsfart V</t>
    </r>
    <r>
      <rPr>
        <vertAlign val="subscript"/>
        <sz val="14"/>
        <color indexed="8"/>
        <rFont val="Calibri"/>
        <family val="2"/>
      </rPr>
      <t xml:space="preserve">0 </t>
    </r>
    <r>
      <rPr>
        <sz val="14"/>
        <color indexed="8"/>
        <rFont val="Calibri"/>
        <family val="2"/>
      </rPr>
      <t>(km/t) ved starten av v.sv.feltet</t>
    </r>
  </si>
  <si>
    <t>L4:</t>
  </si>
  <si>
    <t xml:space="preserve">Basis friksjonskoeff., μ, ved sikkerhetsfaktor 1,5 </t>
  </si>
  <si>
    <t>L5:</t>
  </si>
  <si>
    <r>
      <t xml:space="preserve">Utnyttet friksjonskoeffisient, </t>
    </r>
    <r>
      <rPr>
        <b/>
        <sz val="14"/>
        <color indexed="8"/>
        <rFont val="Calibri"/>
        <family val="2"/>
      </rPr>
      <t>f</t>
    </r>
    <r>
      <rPr>
        <b/>
        <vertAlign val="subscript"/>
        <sz val="14"/>
        <color indexed="8"/>
        <rFont val="Calibri"/>
        <family val="2"/>
      </rPr>
      <t>bu</t>
    </r>
  </si>
  <si>
    <t>L6:</t>
  </si>
  <si>
    <t>Minimum lengde for retardasjon (korteste overgangsstrekning)</t>
  </si>
  <si>
    <t>Signing (+) eller fall (-) (%)</t>
  </si>
  <si>
    <r>
      <t xml:space="preserve">Nødvendig lengde av retardasjonsstrekning </t>
    </r>
    <r>
      <rPr>
        <b/>
        <sz val="16"/>
        <color indexed="8"/>
        <rFont val="Calibri"/>
        <family val="2"/>
      </rPr>
      <t>L</t>
    </r>
    <r>
      <rPr>
        <b/>
        <vertAlign val="subscript"/>
        <sz val="16"/>
        <color indexed="8"/>
        <rFont val="Calibri"/>
        <family val="2"/>
      </rPr>
      <t>r</t>
    </r>
    <r>
      <rPr>
        <b/>
        <sz val="14"/>
        <color indexed="8"/>
        <rFont val="Calibri"/>
        <family val="2"/>
      </rPr>
      <t xml:space="preserve"> (m)</t>
    </r>
  </si>
  <si>
    <t>Forutsetning 6:</t>
  </si>
  <si>
    <r>
      <t>Merk at minimumslengde for retardasjon</t>
    </r>
    <r>
      <rPr>
        <sz val="16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L</t>
    </r>
    <r>
      <rPr>
        <b/>
        <vertAlign val="subscript"/>
        <sz val="16"/>
        <color indexed="8"/>
        <rFont val="Calibri"/>
        <family val="2"/>
      </rPr>
      <t>r</t>
    </r>
    <r>
      <rPr>
        <sz val="14"/>
        <color indexed="8"/>
        <rFont val="Calibri"/>
        <family val="2"/>
      </rPr>
      <t xml:space="preserve"> er bestemt av</t>
    </r>
  </si>
  <si>
    <t>korteste lengde for overgangsstrekning (rad L6)</t>
  </si>
  <si>
    <t>Valgt s</t>
  </si>
  <si>
    <t>Valgt FG</t>
  </si>
  <si>
    <t>Fartsgrense</t>
  </si>
  <si>
    <t>Forenklet modell for å vurdere trafikkavvikling med og uten venstresvingefelt</t>
  </si>
  <si>
    <t>Timetrafikk:</t>
  </si>
  <si>
    <t>Angi timetrafikk i gule felt for</t>
  </si>
  <si>
    <t>←</t>
  </si>
  <si>
    <t>Cg</t>
  </si>
  <si>
    <t>C</t>
  </si>
  <si>
    <t>tilfart A og C (C har venstresving)</t>
  </si>
  <si>
    <t>↙</t>
  </si>
  <si>
    <t>Cv</t>
  </si>
  <si>
    <t>kjt/t</t>
  </si>
  <si>
    <t>sek/kjt</t>
  </si>
  <si>
    <t>A</t>
  </si>
  <si>
    <t>→</t>
  </si>
  <si>
    <t>Kommentar:</t>
  </si>
  <si>
    <t>Oppsummering</t>
  </si>
  <si>
    <t>Total timetrafikk (begge retninger)</t>
  </si>
  <si>
    <t>TT = A+C</t>
  </si>
  <si>
    <t>trafikk:</t>
  </si>
  <si>
    <t>Denne timen i forhold til døgntrafikk</t>
  </si>
  <si>
    <t>prosent</t>
  </si>
  <si>
    <t>td</t>
  </si>
  <si>
    <t>Døgntrafikk</t>
  </si>
  <si>
    <t>kjt/døgn</t>
  </si>
  <si>
    <t>DT = TT / td</t>
  </si>
  <si>
    <t>ÅDT i forhold til dette døgnet</t>
  </si>
  <si>
    <t>dd</t>
  </si>
  <si>
    <t>ÅDT</t>
  </si>
  <si>
    <t>ÅDT = DT * dd</t>
  </si>
  <si>
    <t>Andel venstresving i tilfart C</t>
  </si>
  <si>
    <t>Cv / C</t>
  </si>
  <si>
    <t>Retningsfordeling, andel i tilfart A</t>
  </si>
  <si>
    <t>A / TT</t>
  </si>
  <si>
    <t>Retningsfordeling, andel i tilfart C</t>
  </si>
  <si>
    <t>C / TT</t>
  </si>
  <si>
    <t>Andre forhold:</t>
  </si>
  <si>
    <t>Tungtrafikkandel</t>
  </si>
  <si>
    <t>t</t>
  </si>
  <si>
    <t>Stigning tilfart C</t>
  </si>
  <si>
    <t>+ er stigning og - er fall</t>
  </si>
  <si>
    <t>Kølengde lett bil</t>
  </si>
  <si>
    <t>ll</t>
  </si>
  <si>
    <t>meter</t>
  </si>
  <si>
    <t>Effektiv lengde front-front</t>
  </si>
  <si>
    <t>Kølengde tung bil</t>
  </si>
  <si>
    <t>lt</t>
  </si>
  <si>
    <t>v</t>
  </si>
  <si>
    <t>km/t</t>
  </si>
  <si>
    <t>m/s</t>
  </si>
  <si>
    <t>Hastighet før venstresving</t>
  </si>
  <si>
    <t>vv</t>
  </si>
  <si>
    <t>Brukes for å finne effekt av nedbremsing</t>
  </si>
  <si>
    <t>Retardasjon før venstresving</t>
  </si>
  <si>
    <t>rv</t>
  </si>
  <si>
    <t>m/s2</t>
  </si>
  <si>
    <t>Grunnverdi kritisk tidsluke</t>
  </si>
  <si>
    <t>tkr0</t>
  </si>
  <si>
    <t>sek</t>
  </si>
  <si>
    <t>Kan angis med - for å unngå korreksjon</t>
  </si>
  <si>
    <t>Grunnverdi følgetid</t>
  </si>
  <si>
    <t>tf0</t>
  </si>
  <si>
    <t>med vsf</t>
  </si>
  <si>
    <t>uten vsf</t>
  </si>
  <si>
    <t>Avvikling:</t>
  </si>
  <si>
    <t>Kritisk tidsluke</t>
  </si>
  <si>
    <t>tkr</t>
  </si>
  <si>
    <t>Følgetid</t>
  </si>
  <si>
    <t>tf</t>
  </si>
  <si>
    <t>Trafikkvolum</t>
  </si>
  <si>
    <t>M</t>
  </si>
  <si>
    <t>Konflikterende trafikkvolum</t>
  </si>
  <si>
    <t>MF</t>
  </si>
  <si>
    <t>Grunnkapasitet</t>
  </si>
  <si>
    <t>K0</t>
  </si>
  <si>
    <t>Korreksjon stigning og tungtrafikk</t>
  </si>
  <si>
    <t>kst</t>
  </si>
  <si>
    <t>Kapasitet</t>
  </si>
  <si>
    <t>K</t>
  </si>
  <si>
    <t>Antar en minste kapasitet på 10 kjt/t</t>
  </si>
  <si>
    <t>Kapasitetsreserve</t>
  </si>
  <si>
    <t>K-M</t>
  </si>
  <si>
    <t>Antar en min.kapasitetsreserve på 10 kjt/t</t>
  </si>
  <si>
    <t>Belastningsgrad</t>
  </si>
  <si>
    <t>M/K</t>
  </si>
  <si>
    <t>Sannsynlighet for stopp</t>
  </si>
  <si>
    <t>ps</t>
  </si>
  <si>
    <t>Gjennomsnittlig forsinkelse</t>
  </si>
  <si>
    <t>f</t>
  </si>
  <si>
    <t>Total forsinkelse</t>
  </si>
  <si>
    <t>F</t>
  </si>
  <si>
    <t>timer/t</t>
  </si>
  <si>
    <t>Kan evt benyttes til å vurder kostnader</t>
  </si>
  <si>
    <t>"Blokkeringstid"</t>
  </si>
  <si>
    <t>b</t>
  </si>
  <si>
    <t>Gjennomsnittlig kølengde</t>
  </si>
  <si>
    <t>Lgj</t>
  </si>
  <si>
    <t>kjt</t>
  </si>
  <si>
    <t>Dimensjonerende kølengde 10%</t>
  </si>
  <si>
    <t>L10</t>
  </si>
  <si>
    <t>Dimensjonerende kølengde 5%</t>
  </si>
  <si>
    <t>L5</t>
  </si>
  <si>
    <t>Trafikktall</t>
  </si>
  <si>
    <t></t>
  </si>
  <si>
    <t></t>
  </si>
  <si>
    <t></t>
  </si>
  <si>
    <t>Antall venstresvingende kjt</t>
  </si>
  <si>
    <t>i dimensjonerende time</t>
  </si>
  <si>
    <t>Antall kjt</t>
  </si>
  <si>
    <t>i dim. time</t>
  </si>
  <si>
    <t>Lengde av L1</t>
  </si>
  <si>
    <t>Lengde av L2</t>
  </si>
  <si>
    <t>Krav til lengder av L1 og L2:</t>
  </si>
  <si>
    <t>L1</t>
  </si>
  <si>
    <t>L2</t>
  </si>
  <si>
    <t>Overgangsstrekning, lengde avhenger av fartsgrensen.</t>
  </si>
  <si>
    <r>
      <t>V</t>
    </r>
    <r>
      <rPr>
        <sz val="8"/>
        <rFont val="Arial"/>
        <family val="2"/>
      </rPr>
      <t>0</t>
    </r>
  </si>
  <si>
    <r>
      <t>V</t>
    </r>
    <r>
      <rPr>
        <sz val="8"/>
        <rFont val="Arial"/>
        <family val="2"/>
      </rPr>
      <t>1</t>
    </r>
  </si>
  <si>
    <r>
      <t>V</t>
    </r>
    <r>
      <rPr>
        <sz val="8"/>
        <rFont val="Arial"/>
        <family val="2"/>
      </rPr>
      <t>2</t>
    </r>
  </si>
  <si>
    <t>Venstresvingefeltets lengde = (kømagasin) + (retardasjonsstrekning - overgangsstrekning)</t>
  </si>
  <si>
    <r>
      <t>Farten ved starten av retardasjonsstrekningen, V</t>
    </r>
    <r>
      <rPr>
        <sz val="8"/>
        <rFont val="Arial"/>
        <family val="2"/>
      </rPr>
      <t>1</t>
    </r>
    <r>
      <rPr>
        <sz val="10"/>
        <rFont val="Arial"/>
        <family val="2"/>
      </rPr>
      <t xml:space="preserve"> forutsettes 70 % av fartsgrensen.</t>
    </r>
  </si>
  <si>
    <t>Farten ved slutten av retardasjonsstrekningen, forutsettes 0 km/t.</t>
  </si>
  <si>
    <r>
      <t>Beregnet lengde, retardasjonsstrekning L</t>
    </r>
    <r>
      <rPr>
        <b/>
        <sz val="8"/>
        <rFont val="Arial"/>
        <family val="2"/>
      </rPr>
      <t>r</t>
    </r>
    <r>
      <rPr>
        <b/>
        <sz val="10"/>
        <rFont val="Arial"/>
        <family val="2"/>
      </rPr>
      <t>:</t>
    </r>
  </si>
  <si>
    <r>
      <t>Beregnet lengde, kømagasin L</t>
    </r>
    <r>
      <rPr>
        <b/>
        <sz val="8"/>
        <rFont val="Arial"/>
        <family val="2"/>
      </rPr>
      <t>kø</t>
    </r>
    <r>
      <rPr>
        <b/>
        <sz val="10"/>
        <rFont val="Arial"/>
        <family val="2"/>
      </rPr>
      <t>:</t>
    </r>
  </si>
  <si>
    <t>Farten på primærvegen før krysset (lik fartsgrensen).</t>
  </si>
  <si>
    <t xml:space="preserve">Gjennomgående kjt - ikke </t>
  </si>
  <si>
    <t>relevant for beregningen</t>
  </si>
  <si>
    <t>Figur A: Prinsippskisse for utforming av venstresvingefelt</t>
  </si>
  <si>
    <t>Forklaring til figur A</t>
  </si>
  <si>
    <t>Beregning av lengder L1 og L2 for venstresvingefelt</t>
  </si>
  <si>
    <t>Figur B: Prinsippskisse for beregnede lengder i venstresvingefelt</t>
  </si>
  <si>
    <r>
      <t>Lengde av kømagasin (L</t>
    </r>
    <r>
      <rPr>
        <sz val="8"/>
        <rFont val="Arial"/>
        <family val="2"/>
      </rPr>
      <t>kø</t>
    </r>
    <r>
      <rPr>
        <sz val="10"/>
        <rFont val="Arial"/>
        <family val="2"/>
      </rPr>
      <t>) og retardasjonsstrekning (L</t>
    </r>
    <r>
      <rPr>
        <sz val="8"/>
        <rFont val="Arial"/>
        <family val="2"/>
      </rPr>
      <t>r</t>
    </r>
    <r>
      <rPr>
        <sz val="10"/>
        <rFont val="Arial"/>
        <family val="2"/>
      </rPr>
      <t>) er som vist nedenfor.</t>
    </r>
  </si>
  <si>
    <t>Cr</t>
  </si>
  <si>
    <r>
      <t>V</t>
    </r>
    <r>
      <rPr>
        <vertAlign val="subscript"/>
        <sz val="8"/>
        <rFont val="Arial"/>
        <family val="2"/>
      </rPr>
      <t>f</t>
    </r>
  </si>
  <si>
    <t>Versjonshistorikk</t>
  </si>
  <si>
    <t>Gjeldende versjon</t>
  </si>
  <si>
    <t>Gjeldende dato</t>
  </si>
  <si>
    <t>2012-12-11</t>
  </si>
  <si>
    <t>Versjon</t>
  </si>
  <si>
    <t>Dato</t>
  </si>
  <si>
    <t>Endring</t>
  </si>
  <si>
    <t>Utført av</t>
  </si>
  <si>
    <t>Espen Thøring</t>
  </si>
  <si>
    <t>2010-11-28</t>
  </si>
  <si>
    <t>Beregning av retardasjonsstrekning Lr ved ulike hastighetsendringer, stigning og fall</t>
  </si>
  <si>
    <t>1.0</t>
  </si>
  <si>
    <t>2012-12-12</t>
  </si>
  <si>
    <t>Funksjonalitet og brukergrensesnitt</t>
  </si>
  <si>
    <t>Tungtrafikkandel i primærvegen</t>
  </si>
  <si>
    <t>Arvid Aakre</t>
  </si>
  <si>
    <t>Arvid Aakre / Stein Johannessen</t>
  </si>
  <si>
    <t>1.1</t>
  </si>
  <si>
    <t>Endret feil i beregning av kølengder ved stor andel tungtrafikk</t>
  </si>
  <si>
    <t>Ver 1.1 / 2015-08-01 / Arvid Aakre</t>
  </si>
  <si>
    <t>2015-08-01</t>
  </si>
  <si>
    <t>1.2</t>
  </si>
  <si>
    <t>2016-02-10</t>
  </si>
  <si>
    <t>Lagt inn noen flere hjelpetekster</t>
  </si>
  <si>
    <t>Primærvegens stigning i venstresvingefeltet (negativt fortegn for fall)</t>
  </si>
  <si>
    <t>Primærvegens fartsgrense</t>
  </si>
  <si>
    <t xml:space="preserve">NB! </t>
  </si>
  <si>
    <t>En bør alltid gjøre følsomhetsanalyser ved å variere inngangsdata og vurdere effekten av det.</t>
  </si>
  <si>
    <t>Modellen må brukes med stor forsiktighet ved høy trafikkbelastning. Det kan gi urealistsiske verdier for L1.</t>
  </si>
  <si>
    <t>Hvis L1 beregnes til mer enn i størrelsesorden 150 m, så bør en vurdere en mer detaljert modell.</t>
  </si>
  <si>
    <t>Versjon 2016-02-11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</si>
</sst>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22"/>
      <color indexed="8"/>
      <name val="Calibri"/>
      <family val="2"/>
    </font>
    <font>
      <b/>
      <vertAlign val="subscript"/>
      <sz val="22"/>
      <color indexed="8"/>
      <name val="Calibri"/>
      <family val="2"/>
    </font>
    <font>
      <b/>
      <sz val="16"/>
      <color indexed="8"/>
      <name val="Calibri"/>
      <family val="2"/>
    </font>
    <font>
      <b/>
      <vertAlign val="subscript"/>
      <sz val="16"/>
      <color indexed="8"/>
      <name val="Calibri"/>
      <family val="2"/>
    </font>
    <font>
      <sz val="14"/>
      <color indexed="8"/>
      <name val="Calibri"/>
      <family val="2"/>
    </font>
    <font>
      <b/>
      <vertAlign val="superscript"/>
      <sz val="16"/>
      <color indexed="8"/>
      <name val="Calibri"/>
      <family val="2"/>
    </font>
    <font>
      <sz val="16"/>
      <color indexed="8"/>
      <name val="Calibri"/>
      <family val="2"/>
    </font>
    <font>
      <vertAlign val="subscript"/>
      <sz val="16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b/>
      <sz val="12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Wingdings"/>
      <charset val="2"/>
    </font>
    <font>
      <sz val="9"/>
      <name val="Wingdings"/>
      <charset val="2"/>
    </font>
    <font>
      <vertAlign val="subscript"/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31">
    <xf numFmtId="0" fontId="0" fillId="0" borderId="0"/>
    <xf numFmtId="0" fontId="25" fillId="0" borderId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51">
    <xf numFmtId="0" fontId="0" fillId="0" borderId="0" xfId="0"/>
    <xf numFmtId="0" fontId="3" fillId="2" borderId="0" xfId="0" applyFont="1" applyFill="1" applyBorder="1" applyProtection="1"/>
    <xf numFmtId="0" fontId="0" fillId="2" borderId="0" xfId="0" applyFill="1" applyBorder="1" applyProtection="1"/>
    <xf numFmtId="0" fontId="0" fillId="0" borderId="0" xfId="0" applyProtection="1"/>
    <xf numFmtId="0" fontId="6" fillId="2" borderId="1" xfId="0" applyFont="1" applyFill="1" applyBorder="1" applyProtection="1"/>
    <xf numFmtId="1" fontId="26" fillId="3" borderId="2" xfId="0" applyNumberFormat="1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Protection="1"/>
    <xf numFmtId="0" fontId="6" fillId="4" borderId="4" xfId="0" applyFont="1" applyFill="1" applyBorder="1" applyProtection="1"/>
    <xf numFmtId="0" fontId="0" fillId="0" borderId="0" xfId="0" applyNumberFormat="1" applyProtection="1"/>
    <xf numFmtId="0" fontId="3" fillId="2" borderId="0" xfId="0" applyNumberFormat="1" applyFont="1" applyFill="1" applyBorder="1" applyProtection="1"/>
    <xf numFmtId="0" fontId="6" fillId="2" borderId="0" xfId="0" applyNumberFormat="1" applyFont="1" applyFill="1" applyBorder="1" applyProtection="1"/>
    <xf numFmtId="0" fontId="4" fillId="4" borderId="3" xfId="0" applyFont="1" applyFill="1" applyBorder="1" applyProtection="1"/>
    <xf numFmtId="164" fontId="6" fillId="4" borderId="3" xfId="0" applyNumberFormat="1" applyFont="1" applyFill="1" applyBorder="1" applyProtection="1"/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9" fillId="4" borderId="3" xfId="0" applyFont="1" applyFill="1" applyBorder="1" applyProtection="1"/>
    <xf numFmtId="0" fontId="4" fillId="4" borderId="3" xfId="0" applyFont="1" applyFill="1" applyBorder="1" applyAlignment="1" applyProtection="1">
      <alignment horizontal="right"/>
    </xf>
    <xf numFmtId="0" fontId="27" fillId="0" borderId="0" xfId="1" applyFont="1"/>
    <xf numFmtId="0" fontId="28" fillId="0" borderId="0" xfId="1" applyFont="1"/>
    <xf numFmtId="0" fontId="29" fillId="0" borderId="0" xfId="1" applyFont="1"/>
    <xf numFmtId="0" fontId="30" fillId="0" borderId="0" xfId="1" applyFont="1"/>
    <xf numFmtId="0" fontId="31" fillId="0" borderId="0" xfId="1" applyFont="1"/>
    <xf numFmtId="0" fontId="30" fillId="0" borderId="5" xfId="1" applyFont="1" applyBorder="1"/>
    <xf numFmtId="0" fontId="28" fillId="0" borderId="6" xfId="1" applyFont="1" applyBorder="1"/>
    <xf numFmtId="0" fontId="28" fillId="0" borderId="7" xfId="1" applyFont="1" applyBorder="1"/>
    <xf numFmtId="0" fontId="32" fillId="0" borderId="8" xfId="1" applyFont="1" applyBorder="1" applyAlignment="1">
      <alignment horizontal="center"/>
    </xf>
    <xf numFmtId="0" fontId="28" fillId="0" borderId="0" xfId="1" applyFont="1" applyBorder="1"/>
    <xf numFmtId="0" fontId="28" fillId="0" borderId="9" xfId="1" applyFont="1" applyBorder="1"/>
    <xf numFmtId="0" fontId="32" fillId="0" borderId="8" xfId="1" applyFont="1" applyBorder="1"/>
    <xf numFmtId="2" fontId="28" fillId="0" borderId="0" xfId="1" applyNumberFormat="1" applyFont="1" applyFill="1" applyBorder="1" applyAlignment="1">
      <alignment horizontal="center"/>
    </xf>
    <xf numFmtId="2" fontId="28" fillId="0" borderId="0" xfId="1" applyNumberFormat="1" applyFont="1" applyFill="1" applyBorder="1"/>
    <xf numFmtId="0" fontId="33" fillId="0" borderId="0" xfId="1" applyFont="1" applyBorder="1"/>
    <xf numFmtId="164" fontId="28" fillId="0" borderId="0" xfId="1" applyNumberFormat="1" applyFont="1" applyFill="1" applyBorder="1"/>
    <xf numFmtId="0" fontId="34" fillId="0" borderId="0" xfId="1" applyFont="1" applyBorder="1"/>
    <xf numFmtId="0" fontId="16" fillId="0" borderId="0" xfId="1" applyFont="1" applyBorder="1"/>
    <xf numFmtId="0" fontId="33" fillId="0" borderId="0" xfId="1" applyFont="1" applyBorder="1" applyAlignment="1">
      <alignment horizontal="left"/>
    </xf>
    <xf numFmtId="164" fontId="33" fillId="0" borderId="0" xfId="1" applyNumberFormat="1" applyFont="1" applyBorder="1" applyAlignment="1">
      <alignment horizontal="left"/>
    </xf>
    <xf numFmtId="164" fontId="34" fillId="5" borderId="10" xfId="1" applyNumberFormat="1" applyFont="1" applyFill="1" applyBorder="1" applyAlignment="1">
      <alignment horizontal="center"/>
    </xf>
    <xf numFmtId="0" fontId="28" fillId="0" borderId="0" xfId="1" applyFont="1" applyBorder="1" applyAlignment="1">
      <alignment horizontal="left"/>
    </xf>
    <xf numFmtId="0" fontId="34" fillId="5" borderId="10" xfId="1" applyFont="1" applyFill="1" applyBorder="1" applyAlignment="1">
      <alignment horizontal="center"/>
    </xf>
    <xf numFmtId="0" fontId="33" fillId="0" borderId="0" xfId="1" applyFont="1" applyBorder="1" applyAlignment="1">
      <alignment horizontal="right"/>
    </xf>
    <xf numFmtId="0" fontId="28" fillId="0" borderId="11" xfId="1" applyFont="1" applyBorder="1"/>
    <xf numFmtId="0" fontId="34" fillId="0" borderId="12" xfId="1" applyFont="1" applyBorder="1" applyAlignment="1">
      <alignment horizontal="right"/>
    </xf>
    <xf numFmtId="0" fontId="28" fillId="0" borderId="12" xfId="1" applyFont="1" applyBorder="1" applyAlignment="1">
      <alignment horizontal="right"/>
    </xf>
    <xf numFmtId="2" fontId="32" fillId="0" borderId="12" xfId="1" applyNumberFormat="1" applyFont="1" applyFill="1" applyBorder="1" applyAlignment="1">
      <alignment horizontal="center"/>
    </xf>
    <xf numFmtId="2" fontId="32" fillId="6" borderId="12" xfId="1" applyNumberFormat="1" applyFont="1" applyFill="1" applyBorder="1" applyAlignment="1">
      <alignment horizontal="center"/>
    </xf>
    <xf numFmtId="0" fontId="28" fillId="0" borderId="12" xfId="1" applyFont="1" applyBorder="1"/>
    <xf numFmtId="0" fontId="28" fillId="0" borderId="13" xfId="1" applyFont="1" applyBorder="1"/>
    <xf numFmtId="0" fontId="33" fillId="0" borderId="0" xfId="1" applyFont="1"/>
    <xf numFmtId="0" fontId="34" fillId="0" borderId="0" xfId="1" applyFont="1"/>
    <xf numFmtId="2" fontId="32" fillId="0" borderId="0" xfId="1" applyNumberFormat="1" applyFont="1" applyFill="1" applyAlignment="1">
      <alignment horizontal="center"/>
    </xf>
    <xf numFmtId="0" fontId="32" fillId="0" borderId="0" xfId="1" applyFont="1" applyFill="1" applyAlignment="1">
      <alignment horizontal="center"/>
    </xf>
    <xf numFmtId="0" fontId="35" fillId="0" borderId="0" xfId="1" applyFont="1"/>
    <xf numFmtId="0" fontId="36" fillId="0" borderId="8" xfId="1" applyFont="1" applyBorder="1" applyAlignment="1">
      <alignment horizontal="left" wrapText="1"/>
    </xf>
    <xf numFmtId="0" fontId="36" fillId="0" borderId="0" xfId="1" applyFont="1" applyBorder="1" applyAlignment="1">
      <alignment horizontal="left" wrapText="1"/>
    </xf>
    <xf numFmtId="0" fontId="36" fillId="0" borderId="9" xfId="1" applyFont="1" applyBorder="1" applyAlignment="1">
      <alignment horizontal="left" wrapText="1"/>
    </xf>
    <xf numFmtId="0" fontId="28" fillId="0" borderId="8" xfId="1" applyFont="1" applyBorder="1"/>
    <xf numFmtId="0" fontId="33" fillId="0" borderId="14" xfId="1" applyFont="1" applyBorder="1" applyAlignment="1">
      <alignment horizontal="right"/>
    </xf>
    <xf numFmtId="0" fontId="28" fillId="0" borderId="15" xfId="1" applyFont="1" applyBorder="1"/>
    <xf numFmtId="164" fontId="32" fillId="7" borderId="16" xfId="1" applyNumberFormat="1" applyFont="1" applyFill="1" applyBorder="1" applyAlignment="1">
      <alignment horizontal="center"/>
    </xf>
    <xf numFmtId="0" fontId="28" fillId="7" borderId="17" xfId="1" applyFont="1" applyFill="1" applyBorder="1"/>
    <xf numFmtId="0" fontId="28" fillId="7" borderId="18" xfId="1" applyFont="1" applyFill="1" applyBorder="1"/>
    <xf numFmtId="0" fontId="33" fillId="7" borderId="8" xfId="1" applyFont="1" applyFill="1" applyBorder="1"/>
    <xf numFmtId="0" fontId="28" fillId="7" borderId="2" xfId="1" applyFont="1" applyFill="1" applyBorder="1" applyAlignment="1">
      <alignment horizontal="center"/>
    </xf>
    <xf numFmtId="0" fontId="28" fillId="7" borderId="19" xfId="1" applyFont="1" applyFill="1" applyBorder="1" applyAlignment="1">
      <alignment horizontal="center"/>
    </xf>
    <xf numFmtId="2" fontId="28" fillId="7" borderId="2" xfId="1" applyNumberFormat="1" applyFont="1" applyFill="1" applyBorder="1" applyAlignment="1">
      <alignment horizontal="center"/>
    </xf>
    <xf numFmtId="2" fontId="28" fillId="7" borderId="19" xfId="1" applyNumberFormat="1" applyFont="1" applyFill="1" applyBorder="1" applyAlignment="1">
      <alignment horizontal="center"/>
    </xf>
    <xf numFmtId="0" fontId="33" fillId="7" borderId="20" xfId="1" applyFont="1" applyFill="1" applyBorder="1"/>
    <xf numFmtId="0" fontId="37" fillId="7" borderId="21" xfId="1" applyFont="1" applyFill="1" applyBorder="1" applyAlignment="1">
      <alignment horizontal="left"/>
    </xf>
    <xf numFmtId="1" fontId="28" fillId="7" borderId="2" xfId="1" applyNumberFormat="1" applyFont="1" applyFill="1" applyBorder="1" applyAlignment="1">
      <alignment horizontal="center"/>
    </xf>
    <xf numFmtId="1" fontId="28" fillId="7" borderId="19" xfId="1" applyNumberFormat="1" applyFont="1" applyFill="1" applyBorder="1" applyAlignment="1">
      <alignment horizontal="center"/>
    </xf>
    <xf numFmtId="0" fontId="28" fillId="7" borderId="8" xfId="1" applyFont="1" applyFill="1" applyBorder="1"/>
    <xf numFmtId="0" fontId="28" fillId="7" borderId="0" xfId="1" applyFont="1" applyFill="1" applyBorder="1"/>
    <xf numFmtId="0" fontId="32" fillId="7" borderId="2" xfId="1" applyFont="1" applyFill="1" applyBorder="1" applyAlignment="1">
      <alignment horizontal="right"/>
    </xf>
    <xf numFmtId="0" fontId="32" fillId="7" borderId="22" xfId="1" applyFont="1" applyFill="1" applyBorder="1" applyAlignment="1">
      <alignment horizontal="right"/>
    </xf>
    <xf numFmtId="1" fontId="28" fillId="0" borderId="2" xfId="1" applyNumberFormat="1" applyFont="1" applyBorder="1" applyAlignment="1">
      <alignment horizontal="center"/>
    </xf>
    <xf numFmtId="1" fontId="28" fillId="0" borderId="19" xfId="1" applyNumberFormat="1" applyFont="1" applyBorder="1" applyAlignment="1">
      <alignment horizontal="center"/>
    </xf>
    <xf numFmtId="0" fontId="32" fillId="7" borderId="23" xfId="1" applyFont="1" applyFill="1" applyBorder="1" applyAlignment="1">
      <alignment horizontal="right"/>
    </xf>
    <xf numFmtId="1" fontId="28" fillId="0" borderId="22" xfId="1" applyNumberFormat="1" applyFont="1" applyBorder="1" applyAlignment="1">
      <alignment horizontal="center"/>
    </xf>
    <xf numFmtId="1" fontId="28" fillId="0" borderId="24" xfId="1" applyNumberFormat="1" applyFont="1" applyBorder="1" applyAlignment="1">
      <alignment horizontal="center"/>
    </xf>
    <xf numFmtId="0" fontId="32" fillId="8" borderId="25" xfId="1" applyFont="1" applyFill="1" applyBorder="1" applyAlignment="1">
      <alignment horizontal="right"/>
    </xf>
    <xf numFmtId="1" fontId="32" fillId="8" borderId="26" xfId="1" applyNumberFormat="1" applyFont="1" applyFill="1" applyBorder="1" applyAlignment="1">
      <alignment horizontal="center"/>
    </xf>
    <xf numFmtId="1" fontId="32" fillId="8" borderId="27" xfId="1" applyNumberFormat="1" applyFont="1" applyFill="1" applyBorder="1" applyAlignment="1">
      <alignment horizontal="center"/>
    </xf>
    <xf numFmtId="1" fontId="28" fillId="0" borderId="28" xfId="1" applyNumberFormat="1" applyFont="1" applyBorder="1" applyAlignment="1">
      <alignment horizontal="center"/>
    </xf>
    <xf numFmtId="1" fontId="28" fillId="0" borderId="29" xfId="1" applyNumberFormat="1" applyFont="1" applyBorder="1" applyAlignment="1">
      <alignment horizontal="center"/>
    </xf>
    <xf numFmtId="0" fontId="28" fillId="7" borderId="11" xfId="1" applyFont="1" applyFill="1" applyBorder="1"/>
    <xf numFmtId="0" fontId="28" fillId="7" borderId="12" xfId="1" applyFont="1" applyFill="1" applyBorder="1"/>
    <xf numFmtId="0" fontId="32" fillId="7" borderId="30" xfId="1" applyFont="1" applyFill="1" applyBorder="1" applyAlignment="1">
      <alignment horizontal="right"/>
    </xf>
    <xf numFmtId="1" fontId="28" fillId="0" borderId="31" xfId="1" applyNumberFormat="1" applyFont="1" applyBorder="1" applyAlignment="1">
      <alignment horizontal="center"/>
    </xf>
    <xf numFmtId="1" fontId="28" fillId="0" borderId="32" xfId="1" applyNumberFormat="1" applyFont="1" applyBorder="1" applyAlignment="1">
      <alignment horizontal="center"/>
    </xf>
    <xf numFmtId="0" fontId="28" fillId="0" borderId="0" xfId="1" applyFont="1" applyFill="1" applyBorder="1"/>
    <xf numFmtId="0" fontId="32" fillId="0" borderId="0" xfId="1" applyFont="1" applyFill="1" applyBorder="1" applyAlignment="1">
      <alignment horizontal="right"/>
    </xf>
    <xf numFmtId="1" fontId="32" fillId="7" borderId="33" xfId="1" applyNumberFormat="1" applyFont="1" applyFill="1" applyBorder="1"/>
    <xf numFmtId="1" fontId="28" fillId="7" borderId="0" xfId="1" applyNumberFormat="1" applyFont="1" applyFill="1" applyBorder="1"/>
    <xf numFmtId="1" fontId="28" fillId="7" borderId="1" xfId="1" applyNumberFormat="1" applyFont="1" applyFill="1" applyBorder="1"/>
    <xf numFmtId="0" fontId="28" fillId="7" borderId="33" xfId="1" applyFont="1" applyFill="1" applyBorder="1"/>
    <xf numFmtId="0" fontId="28" fillId="7" borderId="1" xfId="1" applyFont="1" applyFill="1" applyBorder="1"/>
    <xf numFmtId="0" fontId="28" fillId="7" borderId="34" xfId="1" applyFont="1" applyFill="1" applyBorder="1"/>
    <xf numFmtId="0" fontId="28" fillId="7" borderId="21" xfId="1" applyFont="1" applyFill="1" applyBorder="1"/>
    <xf numFmtId="0" fontId="28" fillId="7" borderId="35" xfId="1" applyFont="1" applyFill="1" applyBorder="1"/>
    <xf numFmtId="1" fontId="28" fillId="0" borderId="0" xfId="1" applyNumberFormat="1" applyFont="1"/>
    <xf numFmtId="0" fontId="8" fillId="4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/>
    <xf numFmtId="0" fontId="1" fillId="0" borderId="8" xfId="0" applyFont="1" applyFill="1" applyBorder="1" applyAlignment="1" applyProtection="1"/>
    <xf numFmtId="0" fontId="0" fillId="0" borderId="0" xfId="0" applyFill="1" applyBorder="1" applyProtection="1"/>
    <xf numFmtId="0" fontId="1" fillId="0" borderId="36" xfId="0" applyFont="1" applyFill="1" applyBorder="1" applyAlignment="1" applyProtection="1"/>
    <xf numFmtId="0" fontId="0" fillId="0" borderId="37" xfId="0" applyFill="1" applyBorder="1" applyProtection="1"/>
    <xf numFmtId="0" fontId="1" fillId="0" borderId="37" xfId="0" applyFont="1" applyFill="1" applyBorder="1" applyAlignment="1" applyProtection="1"/>
    <xf numFmtId="0" fontId="1" fillId="0" borderId="38" xfId="0" applyFont="1" applyFill="1" applyBorder="1" applyAlignment="1" applyProtection="1"/>
    <xf numFmtId="0" fontId="2" fillId="0" borderId="7" xfId="0" applyFont="1" applyFill="1" applyBorder="1" applyProtection="1"/>
    <xf numFmtId="0" fontId="0" fillId="0" borderId="8" xfId="0" applyFill="1" applyBorder="1" applyProtection="1"/>
    <xf numFmtId="0" fontId="1" fillId="0" borderId="9" xfId="0" applyFont="1" applyFill="1" applyBorder="1" applyAlignment="1" applyProtection="1"/>
    <xf numFmtId="0" fontId="0" fillId="0" borderId="9" xfId="0" applyFill="1" applyBorder="1" applyProtection="1"/>
    <xf numFmtId="0" fontId="1" fillId="0" borderId="13" xfId="0" applyFont="1" applyFill="1" applyBorder="1" applyAlignment="1" applyProtection="1"/>
    <xf numFmtId="0" fontId="1" fillId="0" borderId="0" xfId="0" applyFont="1" applyFill="1" applyBorder="1" applyAlignment="1" applyProtection="1"/>
    <xf numFmtId="0" fontId="0" fillId="0" borderId="13" xfId="0" applyFill="1" applyBorder="1" applyProtection="1"/>
    <xf numFmtId="0" fontId="21" fillId="0" borderId="0" xfId="0" applyFont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2" fillId="0" borderId="0" xfId="0" applyFont="1"/>
    <xf numFmtId="0" fontId="23" fillId="0" borderId="0" xfId="0" applyFont="1"/>
    <xf numFmtId="0" fontId="0" fillId="5" borderId="2" xfId="0" applyFill="1" applyBorder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/>
    <xf numFmtId="0" fontId="0" fillId="0" borderId="0" xfId="0" quotePrefix="1"/>
    <xf numFmtId="164" fontId="0" fillId="5" borderId="2" xfId="0" applyNumberFormat="1" applyFill="1" applyBorder="1" applyProtection="1">
      <protection locked="0"/>
    </xf>
    <xf numFmtId="0" fontId="1" fillId="0" borderId="0" xfId="0" applyFont="1" applyAlignment="1">
      <alignment horizontal="right"/>
    </xf>
    <xf numFmtId="164" fontId="0" fillId="0" borderId="2" xfId="0" applyNumberFormat="1" applyBorder="1"/>
    <xf numFmtId="0" fontId="0" fillId="0" borderId="2" xfId="0" applyBorder="1"/>
    <xf numFmtId="0" fontId="0" fillId="9" borderId="2" xfId="0" applyFill="1" applyBorder="1"/>
    <xf numFmtId="1" fontId="0" fillId="0" borderId="2" xfId="0" applyNumberFormat="1" applyBorder="1"/>
    <xf numFmtId="1" fontId="1" fillId="0" borderId="2" xfId="0" applyNumberFormat="1" applyFont="1" applyBorder="1"/>
    <xf numFmtId="1" fontId="1" fillId="0" borderId="0" xfId="0" applyNumberFormat="1" applyFont="1"/>
    <xf numFmtId="2" fontId="0" fillId="0" borderId="2" xfId="0" applyNumberFormat="1" applyBorder="1"/>
    <xf numFmtId="2" fontId="0" fillId="0" borderId="0" xfId="0" applyNumberFormat="1"/>
    <xf numFmtId="1" fontId="0" fillId="9" borderId="2" xfId="0" applyNumberFormat="1" applyFill="1" applyBorder="1"/>
    <xf numFmtId="1" fontId="0" fillId="0" borderId="0" xfId="0" applyNumberFormat="1"/>
    <xf numFmtId="164" fontId="0" fillId="9" borderId="2" xfId="0" applyNumberFormat="1" applyFill="1" applyBorder="1"/>
    <xf numFmtId="2" fontId="0" fillId="0" borderId="2" xfId="0" applyNumberFormat="1" applyFill="1" applyBorder="1"/>
    <xf numFmtId="164" fontId="0" fillId="0" borderId="2" xfId="0" applyNumberFormat="1" applyFill="1" applyBorder="1"/>
    <xf numFmtId="0" fontId="1" fillId="2" borderId="0" xfId="0" applyFont="1" applyFill="1" applyBorder="1" applyAlignment="1" applyProtection="1">
      <alignment horizontal="center"/>
    </xf>
    <xf numFmtId="0" fontId="1" fillId="0" borderId="36" xfId="0" applyFont="1" applyFill="1" applyBorder="1" applyProtection="1"/>
    <xf numFmtId="1" fontId="0" fillId="0" borderId="9" xfId="0" applyNumberFormat="1" applyFill="1" applyBorder="1" applyProtection="1"/>
    <xf numFmtId="0" fontId="0" fillId="2" borderId="33" xfId="0" applyFill="1" applyBorder="1" applyAlignment="1" applyProtection="1"/>
    <xf numFmtId="0" fontId="1" fillId="2" borderId="33" xfId="0" applyFont="1" applyFill="1" applyBorder="1" applyAlignment="1" applyProtection="1"/>
    <xf numFmtId="0" fontId="8" fillId="4" borderId="41" xfId="0" applyFont="1" applyFill="1" applyBorder="1" applyAlignment="1" applyProtection="1"/>
    <xf numFmtId="1" fontId="8" fillId="4" borderId="3" xfId="0" applyNumberFormat="1" applyFont="1" applyFill="1" applyBorder="1" applyAlignment="1" applyProtection="1">
      <alignment horizontal="center"/>
    </xf>
    <xf numFmtId="0" fontId="0" fillId="5" borderId="2" xfId="0" applyFill="1" applyBorder="1" applyProtection="1"/>
    <xf numFmtId="164" fontId="0" fillId="5" borderId="2" xfId="0" applyNumberFormat="1" applyFill="1" applyBorder="1" applyProtection="1"/>
    <xf numFmtId="0" fontId="0" fillId="2" borderId="18" xfId="0" applyFill="1" applyBorder="1" applyProtection="1"/>
    <xf numFmtId="0" fontId="0" fillId="2" borderId="21" xfId="0" applyFill="1" applyBorder="1" applyProtection="1"/>
    <xf numFmtId="0" fontId="7" fillId="2" borderId="18" xfId="0" applyFont="1" applyFill="1" applyBorder="1" applyProtection="1"/>
    <xf numFmtId="0" fontId="6" fillId="2" borderId="18" xfId="0" applyNumberFormat="1" applyFont="1" applyFill="1" applyBorder="1" applyProtection="1"/>
    <xf numFmtId="0" fontId="7" fillId="2" borderId="21" xfId="0" applyFont="1" applyFill="1" applyBorder="1" applyProtection="1"/>
    <xf numFmtId="0" fontId="6" fillId="2" borderId="21" xfId="0" applyNumberFormat="1" applyFont="1" applyFill="1" applyBorder="1" applyProtection="1"/>
    <xf numFmtId="0" fontId="0" fillId="2" borderId="0" xfId="0" applyFill="1" applyBorder="1" applyAlignment="1" applyProtection="1">
      <alignment horizontal="center"/>
    </xf>
    <xf numFmtId="0" fontId="0" fillId="2" borderId="33" xfId="0" applyFill="1" applyBorder="1" applyProtection="1"/>
    <xf numFmtId="0" fontId="40" fillId="2" borderId="0" xfId="0" applyFont="1" applyFill="1" applyBorder="1" applyAlignment="1" applyProtection="1">
      <alignment horizontal="center"/>
    </xf>
    <xf numFmtId="0" fontId="40" fillId="2" borderId="33" xfId="0" applyFont="1" applyFill="1" applyBorder="1" applyAlignment="1" applyProtection="1">
      <alignment horizontal="center"/>
    </xf>
    <xf numFmtId="1" fontId="0" fillId="5" borderId="2" xfId="0" applyNumberFormat="1" applyFill="1" applyBorder="1" applyAlignment="1" applyProtection="1">
      <alignment horizontal="center"/>
    </xf>
    <xf numFmtId="0" fontId="0" fillId="2" borderId="33" xfId="0" applyFont="1" applyFill="1" applyBorder="1" applyAlignment="1" applyProtection="1"/>
    <xf numFmtId="1" fontId="26" fillId="10" borderId="2" xfId="0" applyNumberFormat="1" applyFont="1" applyFill="1" applyBorder="1" applyAlignment="1" applyProtection="1">
      <alignment horizontal="center" vertical="center"/>
      <protection locked="0"/>
    </xf>
    <xf numFmtId="1" fontId="0" fillId="5" borderId="2" xfId="0" applyNumberFormat="1" applyFill="1" applyBorder="1" applyProtection="1"/>
    <xf numFmtId="0" fontId="7" fillId="2" borderId="12" xfId="0" applyFont="1" applyFill="1" applyBorder="1" applyProtection="1"/>
    <xf numFmtId="0" fontId="6" fillId="2" borderId="12" xfId="0" applyNumberFormat="1" applyFont="1" applyFill="1" applyBorder="1" applyProtection="1"/>
    <xf numFmtId="0" fontId="0" fillId="2" borderId="12" xfId="0" applyFill="1" applyBorder="1" applyProtection="1"/>
    <xf numFmtId="0" fontId="3" fillId="2" borderId="12" xfId="0" applyFont="1" applyFill="1" applyBorder="1" applyProtection="1"/>
    <xf numFmtId="0" fontId="40" fillId="2" borderId="37" xfId="0" applyFont="1" applyFill="1" applyBorder="1" applyProtection="1"/>
    <xf numFmtId="0" fontId="0" fillId="2" borderId="37" xfId="0" applyFill="1" applyBorder="1" applyProtection="1"/>
    <xf numFmtId="0" fontId="0" fillId="2" borderId="39" xfId="0" applyFill="1" applyBorder="1" applyProtection="1"/>
    <xf numFmtId="0" fontId="0" fillId="2" borderId="40" xfId="0" applyFill="1" applyBorder="1" applyProtection="1"/>
    <xf numFmtId="0" fontId="0" fillId="2" borderId="1" xfId="0" applyFill="1" applyBorder="1" applyProtection="1"/>
    <xf numFmtId="0" fontId="2" fillId="2" borderId="33" xfId="0" applyFont="1" applyFill="1" applyBorder="1" applyProtection="1"/>
    <xf numFmtId="0" fontId="0" fillId="2" borderId="0" xfId="0" applyNumberFormat="1" applyFill="1" applyBorder="1" applyProtection="1"/>
    <xf numFmtId="0" fontId="0" fillId="2" borderId="21" xfId="0" applyNumberFormat="1" applyFill="1" applyBorder="1" applyProtection="1"/>
    <xf numFmtId="0" fontId="0" fillId="2" borderId="35" xfId="0" applyFill="1" applyBorder="1" applyProtection="1"/>
    <xf numFmtId="0" fontId="8" fillId="2" borderId="34" xfId="0" applyFont="1" applyFill="1" applyBorder="1" applyProtection="1"/>
    <xf numFmtId="0" fontId="1" fillId="2" borderId="0" xfId="0" applyFont="1" applyFill="1" applyBorder="1" applyProtection="1"/>
    <xf numFmtId="0" fontId="2" fillId="2" borderId="41" xfId="0" applyFont="1" applyFill="1" applyBorder="1" applyAlignment="1" applyProtection="1"/>
    <xf numFmtId="0" fontId="2" fillId="2" borderId="3" xfId="0" applyFont="1" applyFill="1" applyBorder="1" applyAlignment="1" applyProtection="1">
      <alignment horizontal="center"/>
    </xf>
    <xf numFmtId="0" fontId="1" fillId="2" borderId="18" xfId="0" applyFont="1" applyFill="1" applyBorder="1" applyProtection="1"/>
    <xf numFmtId="1" fontId="2" fillId="2" borderId="18" xfId="0" applyNumberFormat="1" applyFont="1" applyFill="1" applyBorder="1" applyAlignment="1" applyProtection="1">
      <alignment horizontal="center"/>
    </xf>
    <xf numFmtId="0" fontId="1" fillId="2" borderId="3" xfId="0" applyFont="1" applyFill="1" applyBorder="1" applyProtection="1"/>
    <xf numFmtId="164" fontId="2" fillId="2" borderId="3" xfId="0" applyNumberFormat="1" applyFont="1" applyFill="1" applyBorder="1" applyAlignment="1" applyProtection="1">
      <alignment horizontal="left"/>
    </xf>
    <xf numFmtId="0" fontId="23" fillId="2" borderId="3" xfId="0" applyFont="1" applyFill="1" applyBorder="1" applyProtection="1"/>
    <xf numFmtId="164" fontId="23" fillId="2" borderId="3" xfId="0" applyNumberFormat="1" applyFont="1" applyFill="1" applyBorder="1" applyProtection="1"/>
    <xf numFmtId="0" fontId="23" fillId="2" borderId="4" xfId="0" applyFont="1" applyFill="1" applyBorder="1" applyProtection="1"/>
    <xf numFmtId="0" fontId="1" fillId="2" borderId="3" xfId="0" applyFont="1" applyFill="1" applyBorder="1" applyAlignment="1" applyProtection="1">
      <alignment horizontal="right"/>
    </xf>
    <xf numFmtId="0" fontId="7" fillId="2" borderId="6" xfId="0" applyFont="1" applyFill="1" applyBorder="1" applyProtection="1"/>
    <xf numFmtId="0" fontId="6" fillId="2" borderId="6" xfId="0" applyNumberFormat="1" applyFont="1" applyFill="1" applyBorder="1" applyProtection="1"/>
    <xf numFmtId="0" fontId="2" fillId="2" borderId="33" xfId="0" applyFont="1" applyFill="1" applyBorder="1" applyAlignment="1" applyProtection="1">
      <alignment horizontal="left"/>
    </xf>
    <xf numFmtId="0" fontId="0" fillId="2" borderId="34" xfId="0" applyFill="1" applyBorder="1" applyProtection="1"/>
    <xf numFmtId="0" fontId="40" fillId="2" borderId="21" xfId="0" applyFont="1" applyFill="1" applyBorder="1" applyAlignment="1" applyProtection="1">
      <alignment vertical="center"/>
    </xf>
    <xf numFmtId="0" fontId="41" fillId="2" borderId="0" xfId="0" applyFont="1" applyFill="1" applyBorder="1" applyAlignment="1" applyProtection="1">
      <alignment horizontal="right" vertical="center"/>
    </xf>
    <xf numFmtId="0" fontId="7" fillId="2" borderId="0" xfId="0" applyNumberFormat="1" applyFont="1" applyFill="1" applyBorder="1" applyProtection="1"/>
    <xf numFmtId="0" fontId="7" fillId="2" borderId="1" xfId="0" applyFont="1" applyFill="1" applyBorder="1" applyProtection="1"/>
    <xf numFmtId="164" fontId="7" fillId="2" borderId="40" xfId="28" applyNumberFormat="1" applyFont="1" applyFill="1" applyBorder="1" applyAlignment="1" applyProtection="1">
      <alignment horizontal="right"/>
    </xf>
    <xf numFmtId="49" fontId="1" fillId="11" borderId="0" xfId="29" applyNumberFormat="1" applyFont="1" applyFill="1" applyBorder="1" applyProtection="1"/>
    <xf numFmtId="0" fontId="0" fillId="0" borderId="0" xfId="0" applyBorder="1" applyProtection="1"/>
    <xf numFmtId="49" fontId="1" fillId="11" borderId="0" xfId="29" applyNumberFormat="1" applyFill="1" applyBorder="1" applyProtection="1"/>
    <xf numFmtId="49" fontId="1" fillId="11" borderId="0" xfId="29" applyNumberFormat="1" applyFill="1" applyProtection="1"/>
    <xf numFmtId="0" fontId="0" fillId="11" borderId="0" xfId="0" applyFill="1" applyProtection="1"/>
    <xf numFmtId="49" fontId="2" fillId="11" borderId="0" xfId="0" applyNumberFormat="1" applyFont="1" applyFill="1" applyBorder="1" applyProtection="1"/>
    <xf numFmtId="49" fontId="1" fillId="11" borderId="0" xfId="0" applyNumberFormat="1" applyFont="1" applyFill="1" applyBorder="1" applyProtection="1"/>
    <xf numFmtId="49" fontId="2" fillId="11" borderId="0" xfId="0" applyNumberFormat="1" applyFont="1" applyFill="1" applyBorder="1" applyAlignment="1" applyProtection="1">
      <alignment horizontal="left"/>
    </xf>
    <xf numFmtId="49" fontId="0" fillId="11" borderId="0" xfId="0" applyNumberFormat="1" applyFill="1" applyProtection="1"/>
    <xf numFmtId="49" fontId="1" fillId="11" borderId="0" xfId="0" applyNumberFormat="1" applyFont="1" applyFill="1" applyProtection="1"/>
    <xf numFmtId="0" fontId="0" fillId="2" borderId="0" xfId="0" applyFill="1" applyProtection="1"/>
    <xf numFmtId="0" fontId="0" fillId="2" borderId="0" xfId="0" applyNumberFormat="1" applyFill="1" applyProtection="1"/>
    <xf numFmtId="1" fontId="26" fillId="5" borderId="3" xfId="0" applyNumberFormat="1" applyFont="1" applyFill="1" applyBorder="1" applyAlignment="1" applyProtection="1">
      <alignment horizontal="center"/>
    </xf>
    <xf numFmtId="49" fontId="0" fillId="11" borderId="0" xfId="0" quotePrefix="1" applyNumberFormat="1" applyFill="1" applyProtection="1"/>
    <xf numFmtId="0" fontId="2" fillId="2" borderId="33" xfId="0" applyFont="1" applyFill="1" applyBorder="1" applyAlignment="1" applyProtection="1">
      <alignment horizontal="right"/>
    </xf>
    <xf numFmtId="1" fontId="26" fillId="10" borderId="33" xfId="0" applyNumberFormat="1" applyFont="1" applyFill="1" applyBorder="1" applyAlignment="1" applyProtection="1">
      <alignment horizontal="center" vertical="center"/>
      <protection locked="0"/>
    </xf>
    <xf numFmtId="1" fontId="26" fillId="10" borderId="4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40" fillId="2" borderId="33" xfId="0" applyFont="1" applyFill="1" applyBorder="1" applyAlignment="1" applyProtection="1">
      <alignment horizontal="left" vertical="center"/>
    </xf>
    <xf numFmtId="0" fontId="2" fillId="2" borderId="39" xfId="0" applyFont="1" applyFill="1" applyBorder="1" applyAlignment="1" applyProtection="1">
      <alignment horizontal="center" vertical="center"/>
    </xf>
    <xf numFmtId="0" fontId="2" fillId="2" borderId="44" xfId="0" applyFont="1" applyFill="1" applyBorder="1" applyAlignment="1" applyProtection="1">
      <alignment horizontal="center" vertical="center"/>
    </xf>
    <xf numFmtId="0" fontId="5" fillId="4" borderId="39" xfId="0" applyFont="1" applyFill="1" applyBorder="1" applyAlignment="1" applyProtection="1">
      <alignment horizontal="center"/>
    </xf>
    <xf numFmtId="0" fontId="5" fillId="4" borderId="18" xfId="0" applyFont="1" applyFill="1" applyBorder="1" applyAlignment="1" applyProtection="1">
      <alignment horizontal="center"/>
    </xf>
    <xf numFmtId="0" fontId="5" fillId="4" borderId="40" xfId="0" applyFont="1" applyFill="1" applyBorder="1" applyAlignment="1" applyProtection="1">
      <alignment horizontal="center"/>
    </xf>
    <xf numFmtId="0" fontId="2" fillId="4" borderId="34" xfId="0" applyFont="1" applyFill="1" applyBorder="1" applyAlignment="1" applyProtection="1">
      <alignment horizontal="center"/>
    </xf>
    <xf numFmtId="0" fontId="2" fillId="4" borderId="21" xfId="0" applyFont="1" applyFill="1" applyBorder="1" applyAlignment="1" applyProtection="1">
      <alignment horizontal="center"/>
    </xf>
    <xf numFmtId="0" fontId="2" fillId="4" borderId="35" xfId="0" applyFont="1" applyFill="1" applyBorder="1" applyAlignment="1" applyProtection="1">
      <alignment horizontal="center"/>
    </xf>
    <xf numFmtId="1" fontId="26" fillId="0" borderId="6" xfId="0" applyNumberFormat="1" applyFont="1" applyFill="1" applyBorder="1" applyAlignment="1" applyProtection="1">
      <alignment horizontal="center" vertical="center"/>
    </xf>
    <xf numFmtId="1" fontId="26" fillId="0" borderId="21" xfId="0" applyNumberFormat="1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1" fontId="26" fillId="10" borderId="22" xfId="0" applyNumberFormat="1" applyFont="1" applyFill="1" applyBorder="1" applyAlignment="1" applyProtection="1">
      <alignment horizontal="center" vertical="center"/>
      <protection locked="0"/>
    </xf>
    <xf numFmtId="1" fontId="26" fillId="10" borderId="30" xfId="0" applyNumberFormat="1" applyFont="1" applyFill="1" applyBorder="1" applyAlignment="1" applyProtection="1">
      <alignment horizontal="center" vertical="center"/>
      <protection locked="0"/>
    </xf>
    <xf numFmtId="0" fontId="40" fillId="2" borderId="1" xfId="0" applyFont="1" applyFill="1" applyBorder="1" applyAlignment="1" applyProtection="1">
      <alignment horizontal="center" vertical="center"/>
    </xf>
    <xf numFmtId="0" fontId="40" fillId="2" borderId="0" xfId="0" applyFont="1" applyFill="1" applyBorder="1" applyAlignment="1" applyProtection="1">
      <alignment horizontal="center" vertical="center"/>
    </xf>
    <xf numFmtId="0" fontId="32" fillId="7" borderId="41" xfId="1" applyFont="1" applyFill="1" applyBorder="1" applyAlignment="1">
      <alignment horizontal="center" wrapText="1"/>
    </xf>
    <xf numFmtId="0" fontId="32" fillId="7" borderId="3" xfId="1" applyFont="1" applyFill="1" applyBorder="1" applyAlignment="1">
      <alignment horizontal="center" wrapText="1"/>
    </xf>
    <xf numFmtId="0" fontId="32" fillId="7" borderId="42" xfId="1" applyFont="1" applyFill="1" applyBorder="1" applyAlignment="1">
      <alignment horizontal="center" wrapText="1"/>
    </xf>
    <xf numFmtId="0" fontId="36" fillId="0" borderId="5" xfId="1" applyFont="1" applyBorder="1" applyAlignment="1">
      <alignment horizontal="left" wrapText="1"/>
    </xf>
    <xf numFmtId="0" fontId="36" fillId="0" borderId="6" xfId="1" applyFont="1" applyBorder="1" applyAlignment="1">
      <alignment horizontal="left" wrapText="1"/>
    </xf>
    <xf numFmtId="0" fontId="36" fillId="0" borderId="7" xfId="1" applyFont="1" applyBorder="1" applyAlignment="1">
      <alignment horizontal="left" wrapText="1"/>
    </xf>
    <xf numFmtId="0" fontId="34" fillId="7" borderId="41" xfId="1" applyFont="1" applyFill="1" applyBorder="1" applyAlignment="1">
      <alignment horizontal="center"/>
    </xf>
    <xf numFmtId="0" fontId="34" fillId="7" borderId="3" xfId="1" applyFont="1" applyFill="1" applyBorder="1" applyAlignment="1">
      <alignment horizontal="center"/>
    </xf>
    <xf numFmtId="0" fontId="34" fillId="7" borderId="42" xfId="1" applyFont="1" applyFill="1" applyBorder="1" applyAlignment="1">
      <alignment horizontal="center"/>
    </xf>
    <xf numFmtId="0" fontId="28" fillId="7" borderId="0" xfId="1" applyFont="1" applyFill="1" applyBorder="1" applyAlignment="1">
      <alignment horizontal="left"/>
    </xf>
    <xf numFmtId="0" fontId="37" fillId="7" borderId="0" xfId="1" applyFont="1" applyFill="1" applyBorder="1" applyAlignment="1">
      <alignment horizontal="left"/>
    </xf>
  </cellXfs>
  <cellStyles count="31">
    <cellStyle name="Benyttet hyperkobling" xfId="3" builtinId="9" hidden="1"/>
    <cellStyle name="Benyttet hyperkobling" xfId="5" builtinId="9" hidden="1"/>
    <cellStyle name="Benyttet hyperkobling" xfId="7" builtinId="9" hidden="1"/>
    <cellStyle name="Benyttet hyperkobling" xfId="9" builtinId="9" hidden="1"/>
    <cellStyle name="Benyttet hyperkobling" xfId="11" builtinId="9" hidden="1"/>
    <cellStyle name="Benyttet hyperkobling" xfId="13" builtinId="9" hidden="1"/>
    <cellStyle name="Benyttet hyperkobling" xfId="15" builtinId="9" hidden="1"/>
    <cellStyle name="Benyttet hyperkobling" xfId="17" builtinId="9" hidden="1"/>
    <cellStyle name="Benyttet hyperkobling" xfId="19" builtinId="9" hidden="1"/>
    <cellStyle name="Benyttet hyperkobling" xfId="21" builtinId="9" hidden="1"/>
    <cellStyle name="Benyttet hyperkobling" xfId="23" builtinId="9" hidden="1"/>
    <cellStyle name="Benyttet hyperkobling" xfId="25" builtinId="9" hidden="1"/>
    <cellStyle name="Benyttet hyperkobling" xfId="27" builtinId="9" hidden="1"/>
    <cellStyle name="Hyperkobling" xfId="2" builtinId="8" hidden="1"/>
    <cellStyle name="Hyperkobling" xfId="4" builtinId="8" hidden="1"/>
    <cellStyle name="Hyperkobling" xfId="6" builtinId="8" hidden="1"/>
    <cellStyle name="Hyperkobling" xfId="8" builtinId="8" hidden="1"/>
    <cellStyle name="Hyperkobling" xfId="10" builtinId="8" hidden="1"/>
    <cellStyle name="Hyperkobling" xfId="12" builtinId="8" hidden="1"/>
    <cellStyle name="Hyperkobling" xfId="14" builtinId="8" hidden="1"/>
    <cellStyle name="Hyperkobling" xfId="16" builtinId="8" hidden="1"/>
    <cellStyle name="Hyperkobling" xfId="18" builtinId="8" hidden="1"/>
    <cellStyle name="Hyperkobling" xfId="20" builtinId="8" hidden="1"/>
    <cellStyle name="Hyperkobling" xfId="22" builtinId="8" hidden="1"/>
    <cellStyle name="Hyperkobling" xfId="24" builtinId="8" hidden="1"/>
    <cellStyle name="Hyperkobling" xfId="26" builtinId="8" hidden="1"/>
    <cellStyle name="Normal" xfId="0" builtinId="0"/>
    <cellStyle name="Normal 2" xfId="1"/>
    <cellStyle name="Normal 2 2" xfId="29"/>
    <cellStyle name="Normal 3" xfId="28"/>
    <cellStyle name="Prosent 2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117475</xdr:colOff>
      <xdr:row>28</xdr:row>
      <xdr:rowOff>47625</xdr:rowOff>
    </xdr:from>
    <xdr:to>
      <xdr:col>8</xdr:col>
      <xdr:colOff>505612</xdr:colOff>
      <xdr:row>41</xdr:row>
      <xdr:rowOff>114300</xdr:rowOff>
    </xdr:to>
    <xdr:pic>
      <xdr:nvPicPr>
        <xdr:cNvPr id="4" name="Picture 3" descr="Skjermbilde 2011-06-13 kl. 14.17.33.jpg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356" b="2197"/>
        <a:stretch/>
      </xdr:blipFill>
      <xdr:spPr>
        <a:xfrm>
          <a:off x="117475" y="4219575"/>
          <a:ext cx="6236487" cy="21717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57</xdr:row>
      <xdr:rowOff>85726</xdr:rowOff>
    </xdr:from>
    <xdr:to>
      <xdr:col>8</xdr:col>
      <xdr:colOff>528534</xdr:colOff>
      <xdr:row>70</xdr:row>
      <xdr:rowOff>1</xdr:rowOff>
    </xdr:to>
    <xdr:pic>
      <xdr:nvPicPr>
        <xdr:cNvPr id="5" name="Picture 4" descr="Skjermbilde 2011-06-13 kl. 14.21.45.jpg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77" b="9354"/>
        <a:stretch/>
      </xdr:blipFill>
      <xdr:spPr>
        <a:xfrm>
          <a:off x="190500" y="8629651"/>
          <a:ext cx="6186384" cy="2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J78"/>
  <sheetViews>
    <sheetView tabSelected="1" showRuler="0" view="pageBreakPreview" zoomScaleNormal="100" zoomScaleSheetLayoutView="100" workbookViewId="0">
      <selection activeCell="C6" sqref="C6"/>
    </sheetView>
  </sheetViews>
  <sheetFormatPr baseColWidth="10" defaultColWidth="10.109375" defaultRowHeight="13.2" x14ac:dyDescent="0.25"/>
  <cols>
    <col min="1" max="1" width="16.6640625" style="3" customWidth="1"/>
    <col min="2" max="8" width="10.109375" style="3"/>
    <col min="9" max="9" width="10.109375" style="8"/>
    <col min="10" max="10" width="17.44140625" style="3" customWidth="1"/>
    <col min="11" max="16384" width="10.109375" style="3"/>
  </cols>
  <sheetData>
    <row r="1" spans="1:10" ht="24.6" x14ac:dyDescent="0.4">
      <c r="A1" s="226" t="s">
        <v>4</v>
      </c>
      <c r="B1" s="227"/>
      <c r="C1" s="227"/>
      <c r="D1" s="227"/>
      <c r="E1" s="227"/>
      <c r="F1" s="227"/>
      <c r="G1" s="227"/>
      <c r="H1" s="227"/>
      <c r="I1" s="227"/>
      <c r="J1" s="228"/>
    </row>
    <row r="2" spans="1:10" x14ac:dyDescent="0.25">
      <c r="A2" s="229" t="s">
        <v>189</v>
      </c>
      <c r="B2" s="230"/>
      <c r="C2" s="230"/>
      <c r="D2" s="230"/>
      <c r="E2" s="230"/>
      <c r="F2" s="230"/>
      <c r="G2" s="230"/>
      <c r="H2" s="230"/>
      <c r="I2" s="230"/>
      <c r="J2" s="231"/>
    </row>
    <row r="3" spans="1:10" x14ac:dyDescent="0.25">
      <c r="A3" s="150"/>
      <c r="B3" s="1"/>
      <c r="C3" s="1"/>
      <c r="D3" s="1"/>
      <c r="E3" s="1"/>
      <c r="F3" s="1"/>
      <c r="G3" s="1"/>
      <c r="H3" s="1"/>
      <c r="I3" s="9"/>
      <c r="J3" s="203" t="s">
        <v>224</v>
      </c>
    </row>
    <row r="4" spans="1:10" ht="13.8" x14ac:dyDescent="0.3">
      <c r="A4" s="151" t="s">
        <v>61</v>
      </c>
      <c r="B4" s="147" t="s">
        <v>193</v>
      </c>
      <c r="C4" s="5">
        <v>60</v>
      </c>
      <c r="D4" s="2"/>
      <c r="E4" s="13" t="s">
        <v>219</v>
      </c>
      <c r="F4" s="13"/>
      <c r="G4" s="13"/>
      <c r="H4" s="13"/>
      <c r="I4" s="10"/>
      <c r="J4" s="4"/>
    </row>
    <row r="5" spans="1:10" x14ac:dyDescent="0.25">
      <c r="A5" s="150"/>
      <c r="B5" s="162"/>
      <c r="C5" s="2"/>
      <c r="D5" s="2"/>
      <c r="E5" s="2"/>
      <c r="F5" s="14"/>
      <c r="G5" s="13"/>
      <c r="H5" s="13"/>
      <c r="I5" s="10"/>
      <c r="J5" s="4"/>
    </row>
    <row r="6" spans="1:10" x14ac:dyDescent="0.25">
      <c r="A6" s="150" t="s">
        <v>0</v>
      </c>
      <c r="B6" s="162" t="s">
        <v>1</v>
      </c>
      <c r="C6" s="5">
        <v>-1</v>
      </c>
      <c r="D6" s="1" t="s">
        <v>3</v>
      </c>
      <c r="E6" s="13" t="s">
        <v>218</v>
      </c>
      <c r="F6" s="14"/>
      <c r="G6" s="13"/>
      <c r="H6" s="13"/>
      <c r="I6" s="10"/>
      <c r="J6" s="4"/>
    </row>
    <row r="7" spans="1:10" x14ac:dyDescent="0.25">
      <c r="A7" s="150"/>
      <c r="B7" s="162"/>
      <c r="C7" s="1"/>
      <c r="D7" s="1"/>
      <c r="E7" s="13"/>
      <c r="F7" s="14"/>
      <c r="G7" s="13"/>
      <c r="H7" s="13"/>
      <c r="I7" s="10"/>
      <c r="J7" s="4"/>
    </row>
    <row r="8" spans="1:10" x14ac:dyDescent="0.25">
      <c r="A8" s="150" t="s">
        <v>97</v>
      </c>
      <c r="B8" s="2"/>
      <c r="C8" s="168">
        <v>10</v>
      </c>
      <c r="D8" s="1" t="s">
        <v>3</v>
      </c>
      <c r="E8" s="13" t="s">
        <v>208</v>
      </c>
      <c r="F8" s="13"/>
      <c r="G8" s="13"/>
      <c r="H8" s="13"/>
      <c r="I8" s="10"/>
      <c r="J8" s="4"/>
    </row>
    <row r="9" spans="1:10" x14ac:dyDescent="0.25">
      <c r="A9" s="150"/>
      <c r="B9" s="2"/>
      <c r="C9" s="2"/>
      <c r="D9" s="2"/>
      <c r="E9" s="13"/>
      <c r="F9" s="13"/>
      <c r="G9" s="13"/>
      <c r="H9" s="13"/>
      <c r="I9" s="10"/>
      <c r="J9" s="4"/>
    </row>
    <row r="10" spans="1:10" ht="13.8" thickBot="1" x14ac:dyDescent="0.3">
      <c r="A10" s="167" t="s">
        <v>162</v>
      </c>
      <c r="B10" s="172"/>
      <c r="C10" s="173"/>
      <c r="D10" s="172"/>
      <c r="E10" s="170"/>
      <c r="F10" s="170"/>
      <c r="G10" s="170"/>
      <c r="H10" s="170"/>
      <c r="I10" s="171"/>
      <c r="J10" s="4"/>
    </row>
    <row r="11" spans="1:10" x14ac:dyDescent="0.25">
      <c r="A11" s="150"/>
      <c r="B11" s="2"/>
      <c r="C11" s="2"/>
      <c r="D11" s="1"/>
      <c r="E11" s="239" t="s">
        <v>163</v>
      </c>
      <c r="F11" s="232"/>
      <c r="G11" s="234" t="s">
        <v>192</v>
      </c>
      <c r="H11" s="195" t="s">
        <v>185</v>
      </c>
      <c r="I11" s="196"/>
      <c r="J11" s="4"/>
    </row>
    <row r="12" spans="1:10" x14ac:dyDescent="0.25">
      <c r="A12" s="165"/>
      <c r="B12" s="2"/>
      <c r="C12" s="164"/>
      <c r="D12" s="164"/>
      <c r="E12" s="239"/>
      <c r="F12" s="233"/>
      <c r="G12" s="235"/>
      <c r="H12" s="160" t="s">
        <v>186</v>
      </c>
      <c r="I12" s="161"/>
      <c r="J12" s="4"/>
    </row>
    <row r="13" spans="1:10" x14ac:dyDescent="0.25">
      <c r="A13" s="150"/>
      <c r="B13" s="2"/>
      <c r="C13" s="2"/>
      <c r="D13" s="1"/>
      <c r="E13" s="238" t="s">
        <v>165</v>
      </c>
      <c r="F13" s="236">
        <v>300</v>
      </c>
      <c r="G13" s="224" t="s">
        <v>70</v>
      </c>
      <c r="H13" s="158" t="s">
        <v>166</v>
      </c>
      <c r="I13" s="159"/>
      <c r="J13" s="4"/>
    </row>
    <row r="14" spans="1:10" ht="13.8" thickBot="1" x14ac:dyDescent="0.3">
      <c r="A14" s="150"/>
      <c r="B14" s="172"/>
      <c r="C14" s="172"/>
      <c r="D14" s="173"/>
      <c r="E14" s="238"/>
      <c r="F14" s="237"/>
      <c r="G14" s="225"/>
      <c r="H14" s="170" t="s">
        <v>167</v>
      </c>
      <c r="I14" s="171"/>
      <c r="J14" s="4"/>
    </row>
    <row r="15" spans="1:10" x14ac:dyDescent="0.25">
      <c r="A15" s="150"/>
      <c r="B15" s="13" t="s">
        <v>168</v>
      </c>
      <c r="C15" s="221" t="s">
        <v>73</v>
      </c>
      <c r="D15" s="219">
        <v>800</v>
      </c>
      <c r="E15" s="223" t="s">
        <v>164</v>
      </c>
      <c r="F15" s="164"/>
      <c r="G15" s="164"/>
      <c r="H15" s="164"/>
      <c r="I15" s="164"/>
      <c r="J15" s="4"/>
    </row>
    <row r="16" spans="1:10" ht="13.8" thickBot="1" x14ac:dyDescent="0.3">
      <c r="A16" s="150"/>
      <c r="B16" s="170" t="s">
        <v>169</v>
      </c>
      <c r="C16" s="222"/>
      <c r="D16" s="220"/>
      <c r="E16" s="223"/>
      <c r="F16" s="170"/>
      <c r="G16" s="170"/>
      <c r="H16" s="170"/>
      <c r="I16" s="171"/>
      <c r="J16" s="4"/>
    </row>
    <row r="17" spans="1:10" x14ac:dyDescent="0.25">
      <c r="A17" s="150"/>
      <c r="B17" s="2"/>
      <c r="C17" s="2"/>
      <c r="D17" s="1"/>
      <c r="E17" s="174"/>
      <c r="F17" s="13"/>
      <c r="G17" s="13"/>
      <c r="H17" s="13"/>
      <c r="I17" s="10"/>
      <c r="J17" s="4"/>
    </row>
    <row r="18" spans="1:10" x14ac:dyDescent="0.25">
      <c r="A18" s="150"/>
      <c r="B18" s="2"/>
      <c r="C18" s="2"/>
      <c r="D18" s="1"/>
      <c r="E18" s="175"/>
      <c r="F18" s="13"/>
      <c r="G18" s="13"/>
      <c r="H18" s="13"/>
      <c r="I18" s="10"/>
      <c r="J18" s="4"/>
    </row>
    <row r="19" spans="1:10" x14ac:dyDescent="0.25">
      <c r="A19" s="150"/>
      <c r="B19" s="2"/>
      <c r="C19" s="1"/>
      <c r="D19" s="2"/>
      <c r="E19" s="13"/>
      <c r="F19" s="13"/>
      <c r="G19" s="13"/>
      <c r="H19" s="200"/>
      <c r="I19" s="201"/>
      <c r="J19" s="202"/>
    </row>
    <row r="20" spans="1:10" ht="14.4" x14ac:dyDescent="0.25">
      <c r="A20" s="183" t="s">
        <v>172</v>
      </c>
      <c r="B20" s="157"/>
      <c r="C20" s="157"/>
      <c r="D20" s="157"/>
      <c r="E20" s="157"/>
      <c r="F20" s="157"/>
      <c r="G20" s="157"/>
      <c r="H20" s="199"/>
      <c r="I20" s="181"/>
      <c r="J20" s="182"/>
    </row>
    <row r="21" spans="1:10" ht="14.4" x14ac:dyDescent="0.25">
      <c r="A21" s="152" t="s">
        <v>170</v>
      </c>
      <c r="B21" s="101"/>
      <c r="C21" s="153">
        <f>E54+E55-C22</f>
        <v>48.352775371827434</v>
      </c>
      <c r="D21" s="15" t="s">
        <v>2</v>
      </c>
      <c r="E21" s="16"/>
      <c r="F21" s="11"/>
      <c r="G21" s="6"/>
      <c r="H21" s="6"/>
      <c r="I21" s="12"/>
      <c r="J21" s="7"/>
    </row>
    <row r="22" spans="1:10" ht="14.4" x14ac:dyDescent="0.25">
      <c r="A22" s="152" t="s">
        <v>171</v>
      </c>
      <c r="B22" s="101"/>
      <c r="C22" s="153">
        <f>IF(C4&gt;65,25,15)</f>
        <v>15</v>
      </c>
      <c r="D22" s="15" t="s">
        <v>2</v>
      </c>
      <c r="E22" s="16"/>
      <c r="F22" s="11"/>
      <c r="G22" s="6"/>
      <c r="H22" s="6"/>
      <c r="I22" s="12"/>
      <c r="J22" s="7"/>
    </row>
    <row r="23" spans="1:10" x14ac:dyDescent="0.25">
      <c r="A23" s="176"/>
      <c r="B23" s="156"/>
      <c r="C23" s="156"/>
      <c r="D23" s="156"/>
      <c r="E23" s="156"/>
      <c r="F23" s="156"/>
      <c r="G23" s="156"/>
      <c r="H23" s="156"/>
      <c r="I23" s="156"/>
      <c r="J23" s="177"/>
    </row>
    <row r="24" spans="1:10" x14ac:dyDescent="0.25">
      <c r="A24" s="218" t="s">
        <v>220</v>
      </c>
      <c r="B24" s="184" t="s">
        <v>222</v>
      </c>
      <c r="C24" s="2"/>
      <c r="D24" s="2"/>
      <c r="E24" s="2"/>
      <c r="F24" s="2"/>
      <c r="G24" s="2"/>
      <c r="H24" s="2"/>
      <c r="I24" s="2"/>
      <c r="J24" s="178"/>
    </row>
    <row r="25" spans="1:10" x14ac:dyDescent="0.25">
      <c r="A25" s="218"/>
      <c r="B25" s="184" t="s">
        <v>223</v>
      </c>
      <c r="C25" s="2"/>
      <c r="D25" s="2"/>
      <c r="E25" s="2"/>
      <c r="F25" s="2"/>
      <c r="G25" s="2"/>
      <c r="H25" s="2"/>
      <c r="I25" s="2"/>
      <c r="J25" s="178"/>
    </row>
    <row r="26" spans="1:10" x14ac:dyDescent="0.25">
      <c r="A26" s="218"/>
      <c r="B26" s="184" t="s">
        <v>221</v>
      </c>
      <c r="C26" s="2"/>
      <c r="D26" s="2"/>
      <c r="E26" s="2"/>
      <c r="F26" s="2"/>
      <c r="G26" s="2"/>
      <c r="H26" s="2"/>
      <c r="I26" s="2"/>
      <c r="J26" s="178"/>
    </row>
    <row r="27" spans="1:10" x14ac:dyDescent="0.25">
      <c r="A27" s="163"/>
      <c r="B27" s="2"/>
      <c r="C27" s="2"/>
      <c r="D27" s="2"/>
      <c r="E27" s="2"/>
      <c r="F27" s="2"/>
      <c r="G27" s="2"/>
      <c r="H27" s="2"/>
      <c r="I27" s="2"/>
      <c r="J27" s="178"/>
    </row>
    <row r="28" spans="1:10" x14ac:dyDescent="0.25">
      <c r="A28" s="179" t="s">
        <v>187</v>
      </c>
      <c r="B28" s="2"/>
      <c r="C28" s="2"/>
      <c r="D28" s="2"/>
      <c r="E28" s="2"/>
      <c r="F28" s="2"/>
      <c r="G28" s="2"/>
      <c r="H28" s="2"/>
      <c r="I28" s="2"/>
      <c r="J28" s="178"/>
    </row>
    <row r="29" spans="1:10" x14ac:dyDescent="0.25">
      <c r="A29" s="179"/>
      <c r="B29" s="2"/>
      <c r="C29" s="2"/>
      <c r="D29" s="2"/>
      <c r="E29" s="2"/>
      <c r="F29" s="2"/>
      <c r="G29" s="2"/>
      <c r="H29" s="2"/>
      <c r="I29" s="180"/>
      <c r="J29" s="178"/>
    </row>
    <row r="30" spans="1:10" x14ac:dyDescent="0.25">
      <c r="A30" s="163"/>
      <c r="B30" s="2"/>
      <c r="C30" s="2"/>
      <c r="D30" s="2"/>
      <c r="E30" s="2"/>
      <c r="F30" s="2"/>
      <c r="G30" s="2"/>
      <c r="H30" s="2"/>
      <c r="I30" s="180"/>
      <c r="J30" s="178"/>
    </row>
    <row r="31" spans="1:10" x14ac:dyDescent="0.25">
      <c r="A31" s="163"/>
      <c r="B31" s="2"/>
      <c r="C31" s="2"/>
      <c r="D31" s="2"/>
      <c r="E31" s="2"/>
      <c r="F31" s="2"/>
      <c r="G31" s="2"/>
      <c r="H31" s="2"/>
      <c r="I31" s="180"/>
      <c r="J31" s="178"/>
    </row>
    <row r="32" spans="1:10" x14ac:dyDescent="0.25">
      <c r="A32" s="163"/>
      <c r="B32" s="2"/>
      <c r="C32" s="2"/>
      <c r="D32" s="2"/>
      <c r="E32" s="2"/>
      <c r="F32" s="2"/>
      <c r="G32" s="2"/>
      <c r="H32" s="2"/>
      <c r="I32" s="180"/>
      <c r="J32" s="178"/>
    </row>
    <row r="33" spans="1:10" x14ac:dyDescent="0.25">
      <c r="A33" s="163"/>
      <c r="B33" s="2"/>
      <c r="C33" s="2"/>
      <c r="D33" s="2"/>
      <c r="E33" s="2"/>
      <c r="F33" s="2"/>
      <c r="G33" s="2"/>
      <c r="H33" s="2"/>
      <c r="I33" s="180"/>
      <c r="J33" s="178"/>
    </row>
    <row r="34" spans="1:10" x14ac:dyDescent="0.25">
      <c r="A34" s="163"/>
      <c r="B34" s="2"/>
      <c r="C34" s="2"/>
      <c r="D34" s="2"/>
      <c r="E34" s="2"/>
      <c r="F34" s="2"/>
      <c r="G34" s="2"/>
      <c r="H34" s="2"/>
      <c r="I34" s="180"/>
      <c r="J34" s="178"/>
    </row>
    <row r="35" spans="1:10" x14ac:dyDescent="0.25">
      <c r="A35" s="163"/>
      <c r="B35" s="2"/>
      <c r="C35" s="2"/>
      <c r="D35" s="2"/>
      <c r="E35" s="2"/>
      <c r="F35" s="2"/>
      <c r="G35" s="2"/>
      <c r="H35" s="2"/>
      <c r="I35" s="180"/>
      <c r="J35" s="178"/>
    </row>
    <row r="36" spans="1:10" x14ac:dyDescent="0.25">
      <c r="A36" s="163"/>
      <c r="B36" s="2"/>
      <c r="C36" s="2"/>
      <c r="D36" s="2"/>
      <c r="E36" s="2"/>
      <c r="F36" s="2"/>
      <c r="G36" s="2"/>
      <c r="H36" s="2"/>
      <c r="I36" s="180"/>
      <c r="J36" s="178"/>
    </row>
    <row r="37" spans="1:10" x14ac:dyDescent="0.25">
      <c r="A37" s="163"/>
      <c r="B37" s="2"/>
      <c r="C37" s="2"/>
      <c r="D37" s="2"/>
      <c r="E37" s="2"/>
      <c r="F37" s="2"/>
      <c r="G37" s="2"/>
      <c r="H37" s="2"/>
      <c r="I37" s="180"/>
      <c r="J37" s="178"/>
    </row>
    <row r="38" spans="1:10" x14ac:dyDescent="0.25">
      <c r="A38" s="163"/>
      <c r="B38" s="2"/>
      <c r="C38" s="2"/>
      <c r="D38" s="2"/>
      <c r="E38" s="2"/>
      <c r="F38" s="2"/>
      <c r="G38" s="2"/>
      <c r="H38" s="2"/>
      <c r="I38" s="180"/>
      <c r="J38" s="178"/>
    </row>
    <row r="39" spans="1:10" x14ac:dyDescent="0.25">
      <c r="A39" s="163"/>
      <c r="B39" s="2"/>
      <c r="C39" s="2"/>
      <c r="D39" s="2"/>
      <c r="E39" s="2"/>
      <c r="F39" s="2"/>
      <c r="G39" s="2"/>
      <c r="H39" s="2"/>
      <c r="I39" s="180"/>
      <c r="J39" s="178"/>
    </row>
    <row r="40" spans="1:10" x14ac:dyDescent="0.25">
      <c r="A40" s="163"/>
      <c r="B40" s="2"/>
      <c r="C40" s="2"/>
      <c r="D40" s="2"/>
      <c r="E40" s="2"/>
      <c r="F40" s="2"/>
      <c r="G40" s="2"/>
      <c r="H40" s="2"/>
      <c r="I40" s="180"/>
      <c r="J40" s="178"/>
    </row>
    <row r="41" spans="1:10" x14ac:dyDescent="0.25">
      <c r="A41" s="163"/>
      <c r="B41" s="2"/>
      <c r="C41" s="2"/>
      <c r="D41" s="2"/>
      <c r="E41" s="2"/>
      <c r="F41" s="2"/>
      <c r="G41" s="2"/>
      <c r="H41" s="2"/>
      <c r="I41" s="180"/>
      <c r="J41" s="178"/>
    </row>
    <row r="42" spans="1:10" x14ac:dyDescent="0.25">
      <c r="A42" s="163"/>
      <c r="B42" s="2"/>
      <c r="C42" s="2"/>
      <c r="D42" s="2"/>
      <c r="E42" s="2"/>
      <c r="F42" s="2"/>
      <c r="G42" s="2"/>
      <c r="H42" s="2"/>
      <c r="I42" s="180"/>
      <c r="J42" s="178"/>
    </row>
    <row r="43" spans="1:10" x14ac:dyDescent="0.25">
      <c r="A43" s="163"/>
      <c r="B43" s="2"/>
      <c r="C43" s="2"/>
      <c r="D43" s="2"/>
      <c r="E43" s="2"/>
      <c r="F43" s="2"/>
      <c r="G43" s="2"/>
      <c r="H43" s="2"/>
      <c r="I43" s="180"/>
      <c r="J43" s="178"/>
    </row>
    <row r="44" spans="1:10" x14ac:dyDescent="0.25">
      <c r="A44" s="197" t="s">
        <v>188</v>
      </c>
      <c r="B44" s="2"/>
      <c r="C44" s="2"/>
      <c r="D44" s="2"/>
      <c r="E44" s="2"/>
      <c r="F44" s="2"/>
      <c r="G44" s="2"/>
      <c r="H44" s="2"/>
      <c r="I44" s="180"/>
      <c r="J44" s="178"/>
    </row>
    <row r="45" spans="1:10" x14ac:dyDescent="0.25">
      <c r="A45" s="163"/>
      <c r="B45" s="184" t="s">
        <v>176</v>
      </c>
      <c r="C45" s="184" t="s">
        <v>184</v>
      </c>
      <c r="D45" s="2"/>
      <c r="E45" s="2"/>
      <c r="F45" s="2"/>
      <c r="G45" s="2"/>
      <c r="H45" s="2"/>
      <c r="I45" s="180"/>
      <c r="J45" s="178"/>
    </row>
    <row r="46" spans="1:10" x14ac:dyDescent="0.25">
      <c r="A46" s="163"/>
      <c r="B46" s="184" t="s">
        <v>177</v>
      </c>
      <c r="C46" s="184" t="s">
        <v>180</v>
      </c>
      <c r="D46" s="2"/>
      <c r="E46" s="2"/>
      <c r="F46" s="2"/>
      <c r="G46" s="2"/>
      <c r="H46" s="2"/>
      <c r="I46" s="180"/>
      <c r="J46" s="178"/>
    </row>
    <row r="47" spans="1:10" x14ac:dyDescent="0.25">
      <c r="A47" s="163"/>
      <c r="B47" s="184" t="s">
        <v>178</v>
      </c>
      <c r="C47" s="184" t="s">
        <v>181</v>
      </c>
      <c r="D47" s="2"/>
      <c r="E47" s="2"/>
      <c r="F47" s="2"/>
      <c r="G47" s="2"/>
      <c r="H47" s="2"/>
      <c r="I47" s="180"/>
      <c r="J47" s="178"/>
    </row>
    <row r="48" spans="1:10" x14ac:dyDescent="0.25">
      <c r="A48" s="163"/>
      <c r="B48" s="184" t="s">
        <v>173</v>
      </c>
      <c r="C48" s="184" t="s">
        <v>179</v>
      </c>
      <c r="D48" s="2"/>
      <c r="E48" s="2"/>
      <c r="F48" s="2"/>
      <c r="G48" s="2"/>
      <c r="H48" s="2"/>
      <c r="I48" s="2"/>
      <c r="J48" s="178"/>
    </row>
    <row r="49" spans="1:10" x14ac:dyDescent="0.25">
      <c r="A49" s="163"/>
      <c r="B49" s="184" t="s">
        <v>174</v>
      </c>
      <c r="C49" s="184" t="s">
        <v>175</v>
      </c>
      <c r="D49" s="2"/>
      <c r="E49" s="2"/>
      <c r="F49" s="2"/>
      <c r="G49" s="2"/>
      <c r="H49" s="2"/>
      <c r="I49" s="2"/>
      <c r="J49" s="178"/>
    </row>
    <row r="50" spans="1:10" x14ac:dyDescent="0.25">
      <c r="A50" s="163"/>
      <c r="B50" s="2"/>
      <c r="C50" s="2"/>
      <c r="D50" s="2"/>
      <c r="E50" s="2"/>
      <c r="F50" s="2"/>
      <c r="G50" s="2"/>
      <c r="H50" s="2"/>
      <c r="I50" s="2"/>
      <c r="J50" s="178"/>
    </row>
    <row r="51" spans="1:10" x14ac:dyDescent="0.25">
      <c r="A51" s="163"/>
      <c r="B51" s="184" t="s">
        <v>191</v>
      </c>
      <c r="C51" s="2"/>
      <c r="D51" s="2"/>
      <c r="E51" s="2"/>
      <c r="F51" s="2"/>
      <c r="G51" s="2"/>
      <c r="H51" s="2"/>
      <c r="I51" s="2"/>
      <c r="J51" s="178"/>
    </row>
    <row r="52" spans="1:10" x14ac:dyDescent="0.25">
      <c r="A52" s="163"/>
      <c r="B52" s="2"/>
      <c r="C52" s="2"/>
      <c r="D52" s="2"/>
      <c r="E52" s="2"/>
      <c r="F52" s="2"/>
      <c r="G52" s="2"/>
      <c r="H52" s="2"/>
      <c r="I52" s="2"/>
      <c r="J52" s="178"/>
    </row>
    <row r="53" spans="1:10" x14ac:dyDescent="0.25">
      <c r="A53" s="163"/>
      <c r="B53" s="2"/>
      <c r="C53" s="2"/>
      <c r="D53" s="2"/>
      <c r="E53" s="2"/>
      <c r="F53" s="2"/>
      <c r="G53" s="2"/>
      <c r="H53" s="2"/>
      <c r="I53" s="2"/>
      <c r="J53" s="178"/>
    </row>
    <row r="54" spans="1:10" x14ac:dyDescent="0.25">
      <c r="A54" s="185" t="s">
        <v>182</v>
      </c>
      <c r="B54" s="186"/>
      <c r="C54" s="187"/>
      <c r="D54" s="187"/>
      <c r="E54" s="188">
        <f>VLOOKUP(Venstresvingefelt!$C$6,'Beregning retardasjonsstrekning'!$D$37:$K$47,($C$4-20)*0.1,FALSE)</f>
        <v>23.467432950191572</v>
      </c>
      <c r="F54" s="189" t="s">
        <v>2</v>
      </c>
      <c r="G54" s="190" t="str">
        <f>"inkl. overgangsstrekning, Los = "&amp;IF(C4&gt;65,25,15)&amp;" m"</f>
        <v>inkl. overgangsstrekning, Los = 15 m</v>
      </c>
      <c r="H54" s="191"/>
      <c r="I54" s="192"/>
      <c r="J54" s="193"/>
    </row>
    <row r="55" spans="1:10" x14ac:dyDescent="0.25">
      <c r="A55" s="185" t="s">
        <v>183</v>
      </c>
      <c r="B55" s="186"/>
      <c r="C55" s="189"/>
      <c r="D55" s="189"/>
      <c r="E55" s="216">
        <f>'Modell kømagasin'!E58</f>
        <v>39.885342421635862</v>
      </c>
      <c r="F55" s="189" t="s">
        <v>2</v>
      </c>
      <c r="G55" s="194"/>
      <c r="H55" s="191"/>
      <c r="I55" s="192"/>
      <c r="J55" s="193"/>
    </row>
    <row r="56" spans="1:10" x14ac:dyDescent="0.25">
      <c r="A56" s="163"/>
      <c r="B56" s="2"/>
      <c r="C56" s="2"/>
      <c r="D56" s="2"/>
      <c r="E56" s="2"/>
      <c r="F56" s="2"/>
      <c r="G56" s="2"/>
      <c r="H56" s="2"/>
      <c r="I56" s="180"/>
      <c r="J56" s="178"/>
    </row>
    <row r="57" spans="1:10" x14ac:dyDescent="0.25">
      <c r="A57" s="179" t="s">
        <v>190</v>
      </c>
      <c r="B57" s="2"/>
      <c r="C57" s="2"/>
      <c r="D57" s="2"/>
      <c r="E57" s="2"/>
      <c r="F57" s="2"/>
      <c r="G57" s="2"/>
      <c r="H57" s="2"/>
      <c r="I57" s="180"/>
      <c r="J57" s="178"/>
    </row>
    <row r="58" spans="1:10" x14ac:dyDescent="0.25">
      <c r="A58" s="163"/>
      <c r="B58" s="2"/>
      <c r="C58" s="2"/>
      <c r="D58" s="2"/>
      <c r="E58" s="2"/>
      <c r="F58" s="2"/>
      <c r="G58" s="2"/>
      <c r="H58" s="2"/>
      <c r="I58" s="180"/>
      <c r="J58" s="178"/>
    </row>
    <row r="59" spans="1:10" x14ac:dyDescent="0.25">
      <c r="A59" s="163"/>
      <c r="B59" s="2"/>
      <c r="C59" s="2"/>
      <c r="D59" s="2"/>
      <c r="E59" s="2"/>
      <c r="F59" s="2"/>
      <c r="G59" s="2"/>
      <c r="H59" s="2"/>
      <c r="I59" s="180"/>
      <c r="J59" s="178"/>
    </row>
    <row r="60" spans="1:10" x14ac:dyDescent="0.25">
      <c r="A60" s="163"/>
      <c r="B60" s="2"/>
      <c r="C60" s="2"/>
      <c r="D60" s="2"/>
      <c r="E60" s="2"/>
      <c r="F60" s="2"/>
      <c r="G60" s="2"/>
      <c r="H60" s="2"/>
      <c r="I60" s="180"/>
      <c r="J60" s="178"/>
    </row>
    <row r="61" spans="1:10" x14ac:dyDescent="0.25">
      <c r="A61" s="163"/>
      <c r="B61" s="2"/>
      <c r="C61" s="2"/>
      <c r="D61" s="2"/>
      <c r="E61" s="2"/>
      <c r="F61" s="2"/>
      <c r="G61" s="2"/>
      <c r="H61" s="2"/>
      <c r="I61" s="180"/>
      <c r="J61" s="178"/>
    </row>
    <row r="62" spans="1:10" x14ac:dyDescent="0.25">
      <c r="A62" s="163"/>
      <c r="B62" s="2"/>
      <c r="C62" s="2"/>
      <c r="D62" s="2"/>
      <c r="E62" s="2"/>
      <c r="F62" s="2"/>
      <c r="G62" s="2"/>
      <c r="H62" s="2"/>
      <c r="I62" s="180"/>
      <c r="J62" s="178"/>
    </row>
    <row r="63" spans="1:10" x14ac:dyDescent="0.25">
      <c r="A63" s="163"/>
      <c r="B63" s="2"/>
      <c r="C63" s="2"/>
      <c r="D63" s="2"/>
      <c r="E63" s="2"/>
      <c r="F63" s="2"/>
      <c r="G63" s="2"/>
      <c r="H63" s="2"/>
      <c r="I63" s="180"/>
      <c r="J63" s="178"/>
    </row>
    <row r="64" spans="1:10" x14ac:dyDescent="0.25">
      <c r="A64" s="163"/>
      <c r="B64" s="2"/>
      <c r="C64" s="2"/>
      <c r="D64" s="2"/>
      <c r="E64" s="2"/>
      <c r="F64" s="2"/>
      <c r="G64" s="2"/>
      <c r="H64" s="2"/>
      <c r="I64" s="180"/>
      <c r="J64" s="178"/>
    </row>
    <row r="65" spans="1:10" x14ac:dyDescent="0.25">
      <c r="A65" s="179"/>
      <c r="B65" s="2"/>
      <c r="C65" s="2"/>
      <c r="D65" s="2"/>
      <c r="E65" s="2"/>
      <c r="F65" s="2"/>
      <c r="G65" s="2"/>
      <c r="H65" s="2"/>
      <c r="I65" s="180"/>
      <c r="J65" s="178"/>
    </row>
    <row r="66" spans="1:10" x14ac:dyDescent="0.25">
      <c r="A66" s="163"/>
      <c r="B66" s="2"/>
      <c r="C66" s="2"/>
      <c r="D66" s="2"/>
      <c r="E66" s="2"/>
      <c r="F66" s="2"/>
      <c r="G66" s="2"/>
      <c r="H66" s="2"/>
      <c r="I66" s="180"/>
      <c r="J66" s="178"/>
    </row>
    <row r="67" spans="1:10" x14ac:dyDescent="0.25">
      <c r="A67" s="163"/>
      <c r="B67" s="2"/>
      <c r="C67" s="2"/>
      <c r="D67" s="2"/>
      <c r="E67" s="2"/>
      <c r="F67" s="2"/>
      <c r="G67" s="2"/>
      <c r="H67" s="2"/>
      <c r="I67" s="180"/>
      <c r="J67" s="178"/>
    </row>
    <row r="68" spans="1:10" x14ac:dyDescent="0.25">
      <c r="A68" s="163"/>
      <c r="B68" s="2"/>
      <c r="C68" s="2"/>
      <c r="D68" s="2"/>
      <c r="E68" s="2"/>
      <c r="F68" s="2"/>
      <c r="G68" s="2"/>
      <c r="H68" s="2"/>
      <c r="I68" s="180"/>
      <c r="J68" s="178"/>
    </row>
    <row r="69" spans="1:10" x14ac:dyDescent="0.25">
      <c r="A69" s="163"/>
      <c r="B69" s="2"/>
      <c r="C69" s="2"/>
      <c r="D69" s="2"/>
      <c r="E69" s="2"/>
      <c r="F69" s="2"/>
      <c r="G69" s="2"/>
      <c r="H69" s="2"/>
      <c r="I69" s="180"/>
      <c r="J69" s="178"/>
    </row>
    <row r="70" spans="1:10" x14ac:dyDescent="0.25">
      <c r="A70" s="163"/>
      <c r="B70" s="2"/>
      <c r="C70" s="2"/>
      <c r="D70" s="2"/>
      <c r="E70" s="2"/>
      <c r="F70" s="2"/>
      <c r="G70" s="2"/>
      <c r="H70" s="2"/>
      <c r="I70" s="180"/>
      <c r="J70" s="178"/>
    </row>
    <row r="71" spans="1:10" x14ac:dyDescent="0.25">
      <c r="A71" s="163"/>
      <c r="B71" s="2"/>
      <c r="C71" s="2"/>
      <c r="D71" s="2"/>
      <c r="E71" s="2"/>
      <c r="F71" s="2"/>
      <c r="G71" s="2"/>
      <c r="H71" s="2"/>
      <c r="I71" s="180"/>
      <c r="J71" s="178"/>
    </row>
    <row r="72" spans="1:10" x14ac:dyDescent="0.25">
      <c r="A72" s="163"/>
      <c r="B72" s="2"/>
      <c r="C72" s="2"/>
      <c r="D72" s="2"/>
      <c r="E72" s="2"/>
      <c r="F72" s="2"/>
      <c r="G72" s="2"/>
      <c r="H72" s="2"/>
      <c r="I72" s="180"/>
      <c r="J72" s="178"/>
    </row>
    <row r="73" spans="1:10" x14ac:dyDescent="0.25">
      <c r="A73" s="163"/>
      <c r="B73" s="2"/>
      <c r="C73" s="2"/>
      <c r="D73" s="2"/>
      <c r="E73" s="2"/>
      <c r="F73" s="2"/>
      <c r="G73" s="2"/>
      <c r="H73" s="2"/>
      <c r="I73" s="180"/>
      <c r="J73" s="178"/>
    </row>
    <row r="74" spans="1:10" x14ac:dyDescent="0.25">
      <c r="A74" s="163"/>
      <c r="B74" s="2"/>
      <c r="C74" s="2"/>
      <c r="D74" s="2"/>
      <c r="E74" s="2"/>
      <c r="F74" s="2"/>
      <c r="G74" s="2"/>
      <c r="H74" s="2"/>
      <c r="I74" s="180"/>
      <c r="J74" s="178"/>
    </row>
    <row r="75" spans="1:10" x14ac:dyDescent="0.25">
      <c r="A75" s="198"/>
      <c r="B75" s="157"/>
      <c r="C75" s="157"/>
      <c r="D75" s="157"/>
      <c r="E75" s="157"/>
      <c r="F75" s="157"/>
      <c r="G75" s="157"/>
      <c r="H75" s="157"/>
      <c r="I75" s="181"/>
      <c r="J75" s="182"/>
    </row>
    <row r="76" spans="1:10" x14ac:dyDescent="0.25">
      <c r="A76" s="214"/>
      <c r="B76" s="214"/>
      <c r="C76" s="214"/>
      <c r="D76" s="214"/>
      <c r="E76" s="214"/>
      <c r="F76" s="214"/>
      <c r="G76" s="214"/>
      <c r="H76" s="214"/>
      <c r="I76" s="215"/>
      <c r="J76" s="214"/>
    </row>
    <row r="77" spans="1:10" x14ac:dyDescent="0.25">
      <c r="A77" s="214"/>
      <c r="B77" s="214"/>
      <c r="C77" s="214"/>
      <c r="D77" s="214"/>
      <c r="E77" s="214"/>
      <c r="F77" s="214"/>
      <c r="G77" s="214"/>
      <c r="H77" s="214"/>
      <c r="I77" s="215"/>
      <c r="J77" s="214"/>
    </row>
    <row r="78" spans="1:10" x14ac:dyDescent="0.25">
      <c r="A78" s="214"/>
      <c r="B78" s="214"/>
      <c r="C78" s="214"/>
      <c r="D78" s="214"/>
      <c r="E78" s="214"/>
      <c r="F78" s="214"/>
      <c r="G78" s="214"/>
      <c r="H78" s="214"/>
      <c r="I78" s="215"/>
      <c r="J78" s="214"/>
    </row>
  </sheetData>
  <sheetProtection selectLockedCells="1"/>
  <mergeCells count="11">
    <mergeCell ref="D15:D16"/>
    <mergeCell ref="C15:C16"/>
    <mergeCell ref="E15:E16"/>
    <mergeCell ref="G13:G14"/>
    <mergeCell ref="A1:J1"/>
    <mergeCell ref="A2:J2"/>
    <mergeCell ref="F11:F12"/>
    <mergeCell ref="G11:G12"/>
    <mergeCell ref="F13:F14"/>
    <mergeCell ref="E13:E14"/>
    <mergeCell ref="E11:E12"/>
  </mergeCells>
  <phoneticPr fontId="4" type="noConversion"/>
  <dataValidations count="2">
    <dataValidation type="list" allowBlank="1" showInputMessage="1" showErrorMessage="1" sqref="C6">
      <formula1>GyldigeS</formula1>
    </dataValidation>
    <dataValidation type="list" allowBlank="1" showInputMessage="1" showErrorMessage="1" sqref="C4">
      <formula1>GyldigeFG</formula1>
    </dataValidation>
  </dataValidations>
  <pageMargins left="0.7" right="0.7" top="0.78740157499999996" bottom="0.78740157499999996" header="0.3" footer="0.3"/>
  <pageSetup paperSize="9" scale="76" orientation="portrait" r:id="rId1"/>
  <headerFooter>
    <oddHeader xml:space="preserve">&amp;C </oddHeader>
    <oddFooter xml:space="preserve">&amp;C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B1:K52"/>
  <sheetViews>
    <sheetView showRuler="0" zoomScale="70" zoomScaleNormal="70" zoomScalePageLayoutView="70" workbookViewId="0">
      <selection activeCell="O25" sqref="O25"/>
    </sheetView>
  </sheetViews>
  <sheetFormatPr baseColWidth="10" defaultColWidth="9.109375" defaultRowHeight="18" x14ac:dyDescent="0.35"/>
  <cols>
    <col min="1" max="2" width="9.109375" style="18"/>
    <col min="3" max="3" width="38.44140625" style="18" customWidth="1"/>
    <col min="4" max="4" width="36.33203125" style="18" customWidth="1"/>
    <col min="5" max="5" width="9.109375" style="18"/>
    <col min="6" max="6" width="10.6640625" style="18" bestFit="1" customWidth="1"/>
    <col min="7" max="16384" width="9.109375" style="18"/>
  </cols>
  <sheetData>
    <row r="1" spans="2:11" ht="46.2" x14ac:dyDescent="0.85">
      <c r="B1" s="17" t="s">
        <v>5</v>
      </c>
      <c r="E1" s="19" t="s">
        <v>6</v>
      </c>
    </row>
    <row r="2" spans="2:11" ht="23.4" x14ac:dyDescent="0.45">
      <c r="B2" s="20"/>
    </row>
    <row r="3" spans="2:11" ht="33.6" x14ac:dyDescent="0.75">
      <c r="B3" s="21" t="s">
        <v>7</v>
      </c>
    </row>
    <row r="4" spans="2:11" ht="18.600000000000001" thickBot="1" x14ac:dyDescent="0.4"/>
    <row r="5" spans="2:11" ht="23.4" x14ac:dyDescent="0.45">
      <c r="B5" s="22" t="s">
        <v>8</v>
      </c>
      <c r="C5" s="23"/>
      <c r="D5" s="23"/>
      <c r="E5" s="23"/>
      <c r="F5" s="23"/>
      <c r="G5" s="23"/>
      <c r="H5" s="23"/>
      <c r="I5" s="23"/>
      <c r="J5" s="23"/>
      <c r="K5" s="24"/>
    </row>
    <row r="6" spans="2:11" ht="24.6" x14ac:dyDescent="0.55000000000000004">
      <c r="B6" s="25" t="s">
        <v>9</v>
      </c>
      <c r="C6" s="26" t="s">
        <v>10</v>
      </c>
      <c r="D6" s="26"/>
      <c r="E6" s="26"/>
      <c r="F6" s="26"/>
      <c r="G6" s="26"/>
      <c r="H6" s="26"/>
      <c r="I6" s="26"/>
      <c r="J6" s="26"/>
      <c r="K6" s="27"/>
    </row>
    <row r="7" spans="2:11" x14ac:dyDescent="0.35">
      <c r="B7" s="28"/>
      <c r="C7" s="26"/>
      <c r="D7" s="26"/>
      <c r="E7" s="26"/>
      <c r="F7" s="26"/>
      <c r="G7" s="26"/>
      <c r="H7" s="26"/>
      <c r="I7" s="26"/>
      <c r="J7" s="26"/>
      <c r="K7" s="27"/>
    </row>
    <row r="8" spans="2:11" x14ac:dyDescent="0.35">
      <c r="B8" s="25" t="s">
        <v>11</v>
      </c>
      <c r="C8" s="26" t="s">
        <v>12</v>
      </c>
      <c r="D8" s="26"/>
      <c r="E8" s="26"/>
      <c r="F8" s="26"/>
      <c r="G8" s="26"/>
      <c r="H8" s="26"/>
      <c r="I8" s="26"/>
      <c r="J8" s="26"/>
      <c r="K8" s="27"/>
    </row>
    <row r="9" spans="2:11" ht="24.6" x14ac:dyDescent="0.55000000000000004">
      <c r="B9" s="28"/>
      <c r="C9" s="26" t="s">
        <v>13</v>
      </c>
      <c r="D9" s="26"/>
      <c r="E9" s="26"/>
      <c r="F9" s="26"/>
      <c r="G9" s="26"/>
      <c r="H9" s="26"/>
      <c r="I9" s="29"/>
      <c r="J9" s="30"/>
      <c r="K9" s="27"/>
    </row>
    <row r="10" spans="2:11" x14ac:dyDescent="0.35">
      <c r="B10" s="28"/>
      <c r="C10" s="26"/>
      <c r="D10" s="26"/>
      <c r="E10" s="26"/>
      <c r="F10" s="26"/>
      <c r="G10" s="26"/>
      <c r="H10" s="26"/>
      <c r="I10" s="29"/>
      <c r="J10" s="30"/>
      <c r="K10" s="27"/>
    </row>
    <row r="11" spans="2:11" ht="21" x14ac:dyDescent="0.4">
      <c r="B11" s="25" t="s">
        <v>14</v>
      </c>
      <c r="C11" s="31" t="s">
        <v>15</v>
      </c>
      <c r="D11" s="31"/>
      <c r="E11" s="31"/>
      <c r="F11" s="31"/>
      <c r="G11" s="26"/>
      <c r="H11" s="26"/>
      <c r="I11" s="26"/>
      <c r="J11" s="32"/>
      <c r="K11" s="27"/>
    </row>
    <row r="12" spans="2:11" ht="25.2" x14ac:dyDescent="0.55000000000000004">
      <c r="B12" s="28"/>
      <c r="C12" s="33" t="s">
        <v>16</v>
      </c>
      <c r="D12" s="34" t="s">
        <v>17</v>
      </c>
      <c r="E12" s="26"/>
      <c r="F12" s="26"/>
      <c r="G12" s="26"/>
      <c r="H12" s="26"/>
      <c r="I12" s="26"/>
      <c r="J12" s="26"/>
      <c r="K12" s="27"/>
    </row>
    <row r="13" spans="2:11" ht="21" x14ac:dyDescent="0.4">
      <c r="B13" s="28"/>
      <c r="C13" s="31"/>
      <c r="D13" s="31" t="s">
        <v>18</v>
      </c>
      <c r="E13" s="26"/>
      <c r="F13" s="26"/>
      <c r="G13" s="26"/>
      <c r="H13" s="26"/>
      <c r="I13" s="26"/>
      <c r="J13" s="26"/>
      <c r="K13" s="27"/>
    </row>
    <row r="14" spans="2:11" ht="25.2" x14ac:dyDescent="0.55000000000000004">
      <c r="B14" s="28"/>
      <c r="C14" s="33" t="s">
        <v>19</v>
      </c>
      <c r="D14" s="34" t="s">
        <v>20</v>
      </c>
      <c r="E14" s="26"/>
      <c r="F14" s="26"/>
      <c r="G14" s="26"/>
      <c r="H14" s="26"/>
      <c r="I14" s="26"/>
      <c r="J14" s="26"/>
      <c r="K14" s="27"/>
    </row>
    <row r="15" spans="2:11" ht="24.6" x14ac:dyDescent="0.55000000000000004">
      <c r="B15" s="28"/>
      <c r="C15" s="31"/>
      <c r="D15" s="26" t="s">
        <v>21</v>
      </c>
      <c r="E15" s="26"/>
      <c r="F15" s="26"/>
      <c r="G15" s="26"/>
      <c r="H15" s="26"/>
      <c r="I15" s="26"/>
      <c r="J15" s="26"/>
      <c r="K15" s="27"/>
    </row>
    <row r="16" spans="2:11" ht="21" x14ac:dyDescent="0.4">
      <c r="B16" s="28"/>
      <c r="C16" s="31"/>
      <c r="D16" s="33"/>
      <c r="E16" s="31"/>
      <c r="F16" s="31"/>
      <c r="G16" s="26"/>
      <c r="H16" s="26"/>
      <c r="I16" s="26"/>
      <c r="J16" s="26"/>
      <c r="K16" s="27"/>
    </row>
    <row r="17" spans="2:11" ht="24.6" x14ac:dyDescent="0.55000000000000004">
      <c r="B17" s="25" t="s">
        <v>22</v>
      </c>
      <c r="C17" s="31" t="s">
        <v>23</v>
      </c>
      <c r="D17" s="33"/>
      <c r="E17" s="31"/>
      <c r="F17" s="31"/>
      <c r="G17" s="26"/>
      <c r="H17" s="26"/>
      <c r="I17" s="26"/>
      <c r="J17" s="26"/>
      <c r="K17" s="27"/>
    </row>
    <row r="18" spans="2:11" ht="21" x14ac:dyDescent="0.4">
      <c r="B18" s="28"/>
      <c r="C18" s="35" t="s">
        <v>24</v>
      </c>
      <c r="D18" s="36" t="s">
        <v>25</v>
      </c>
      <c r="E18" s="31"/>
      <c r="F18" s="26"/>
      <c r="G18" s="26"/>
      <c r="H18" s="26"/>
      <c r="I18" s="26"/>
      <c r="J18" s="26"/>
      <c r="K18" s="27"/>
    </row>
    <row r="19" spans="2:11" ht="21" x14ac:dyDescent="0.4">
      <c r="B19" s="28"/>
      <c r="C19" s="35" t="s">
        <v>26</v>
      </c>
      <c r="D19" s="36" t="s">
        <v>27</v>
      </c>
      <c r="E19" s="31"/>
      <c r="F19" s="26"/>
      <c r="G19" s="26"/>
      <c r="H19" s="26"/>
      <c r="I19" s="26"/>
      <c r="J19" s="26"/>
      <c r="K19" s="27"/>
    </row>
    <row r="20" spans="2:11" ht="21.6" thickBot="1" x14ac:dyDescent="0.45">
      <c r="B20" s="28"/>
      <c r="C20" s="35" t="s">
        <v>28</v>
      </c>
      <c r="D20" s="36" t="s">
        <v>29</v>
      </c>
      <c r="E20" s="31"/>
      <c r="F20" s="26"/>
      <c r="G20" s="26"/>
      <c r="H20" s="26"/>
      <c r="I20" s="26"/>
      <c r="J20" s="26"/>
      <c r="K20" s="27"/>
    </row>
    <row r="21" spans="2:11" ht="25.2" thickBot="1" x14ac:dyDescent="0.6">
      <c r="B21" s="28"/>
      <c r="C21" s="26"/>
      <c r="D21" s="35" t="s">
        <v>30</v>
      </c>
      <c r="F21" s="37">
        <v>3</v>
      </c>
      <c r="H21" s="38" t="s">
        <v>31</v>
      </c>
      <c r="I21" s="26"/>
      <c r="J21" s="26"/>
      <c r="K21" s="27"/>
    </row>
    <row r="22" spans="2:11" ht="21.6" thickBot="1" x14ac:dyDescent="0.45">
      <c r="B22" s="28"/>
      <c r="C22" s="26"/>
      <c r="D22" s="31" t="s">
        <v>32</v>
      </c>
      <c r="E22" s="31"/>
      <c r="F22" s="39">
        <v>70</v>
      </c>
      <c r="G22" s="26"/>
      <c r="H22" s="26" t="s">
        <v>33</v>
      </c>
      <c r="I22" s="40"/>
      <c r="J22" s="32"/>
      <c r="K22" s="27"/>
    </row>
    <row r="23" spans="2:11" ht="24.6" x14ac:dyDescent="0.55000000000000004">
      <c r="B23" s="25" t="s">
        <v>34</v>
      </c>
      <c r="C23" s="31" t="s">
        <v>35</v>
      </c>
      <c r="D23" s="31"/>
      <c r="E23" s="31"/>
      <c r="F23" s="31"/>
      <c r="G23" s="26"/>
      <c r="H23" s="26"/>
      <c r="I23" s="40"/>
      <c r="J23" s="32"/>
      <c r="K23" s="27"/>
    </row>
    <row r="24" spans="2:11" ht="25.2" thickBot="1" x14ac:dyDescent="0.6">
      <c r="B24" s="41"/>
      <c r="C24" s="42" t="s">
        <v>36</v>
      </c>
      <c r="D24" s="43" t="s">
        <v>37</v>
      </c>
      <c r="E24" s="44" t="s">
        <v>38</v>
      </c>
      <c r="F24" s="45">
        <f>F21/10</f>
        <v>0.3</v>
      </c>
      <c r="G24" s="46"/>
      <c r="H24" s="46"/>
      <c r="I24" s="46"/>
      <c r="J24" s="46"/>
      <c r="K24" s="47"/>
    </row>
    <row r="25" spans="2:11" ht="50.25" customHeight="1" thickBot="1" x14ac:dyDescent="0.45">
      <c r="C25" s="48"/>
      <c r="D25" s="49"/>
      <c r="E25" s="48"/>
      <c r="F25" s="48"/>
      <c r="I25" s="50"/>
      <c r="J25" s="51"/>
    </row>
    <row r="26" spans="2:11" s="52" customFormat="1" ht="48" customHeight="1" x14ac:dyDescent="0.5">
      <c r="B26" s="243" t="s">
        <v>39</v>
      </c>
      <c r="C26" s="244"/>
      <c r="D26" s="244"/>
      <c r="E26" s="244"/>
      <c r="F26" s="244"/>
      <c r="G26" s="244"/>
      <c r="H26" s="244"/>
      <c r="I26" s="244"/>
      <c r="J26" s="244"/>
      <c r="K26" s="245"/>
    </row>
    <row r="27" spans="2:11" s="52" customFormat="1" ht="14.25" customHeight="1" thickBot="1" x14ac:dyDescent="0.55000000000000004">
      <c r="B27" s="53"/>
      <c r="C27" s="54"/>
      <c r="D27" s="54"/>
      <c r="E27" s="54"/>
      <c r="F27" s="54"/>
      <c r="G27" s="54"/>
      <c r="H27" s="54"/>
      <c r="I27" s="54"/>
      <c r="J27" s="54"/>
      <c r="K27" s="55"/>
    </row>
    <row r="28" spans="2:11" ht="25.2" thickBot="1" x14ac:dyDescent="0.6">
      <c r="B28" s="56"/>
      <c r="C28" s="26"/>
      <c r="D28" s="57" t="s">
        <v>30</v>
      </c>
      <c r="E28" s="58"/>
      <c r="F28" s="59">
        <f>F21</f>
        <v>3</v>
      </c>
      <c r="G28" s="26"/>
      <c r="H28" s="26"/>
      <c r="I28" s="26"/>
      <c r="J28" s="26"/>
      <c r="K28" s="27"/>
    </row>
    <row r="29" spans="2:11" x14ac:dyDescent="0.35">
      <c r="B29" s="28" t="s">
        <v>40</v>
      </c>
      <c r="C29" s="26"/>
      <c r="D29" s="26"/>
      <c r="E29" s="26"/>
      <c r="F29" s="26"/>
      <c r="G29" s="26"/>
      <c r="H29" s="26"/>
      <c r="I29" s="26"/>
      <c r="J29" s="26"/>
      <c r="K29" s="27"/>
    </row>
    <row r="30" spans="2:11" ht="21" x14ac:dyDescent="0.4">
      <c r="B30" s="60" t="s">
        <v>41</v>
      </c>
      <c r="C30" s="61" t="s">
        <v>42</v>
      </c>
      <c r="D30" s="61"/>
      <c r="E30" s="246" t="s">
        <v>43</v>
      </c>
      <c r="F30" s="247"/>
      <c r="G30" s="247"/>
      <c r="H30" s="247"/>
      <c r="I30" s="247"/>
      <c r="J30" s="247"/>
      <c r="K30" s="248"/>
    </row>
    <row r="31" spans="2:11" ht="21.6" x14ac:dyDescent="0.45">
      <c r="B31" s="62" t="s">
        <v>44</v>
      </c>
      <c r="C31" s="249" t="s">
        <v>45</v>
      </c>
      <c r="D31" s="249"/>
      <c r="E31" s="63">
        <v>40</v>
      </c>
      <c r="F31" s="63">
        <v>50</v>
      </c>
      <c r="G31" s="63">
        <v>60</v>
      </c>
      <c r="H31" s="63">
        <v>70</v>
      </c>
      <c r="I31" s="63">
        <v>80</v>
      </c>
      <c r="J31" s="63">
        <v>90</v>
      </c>
      <c r="K31" s="64">
        <v>100</v>
      </c>
    </row>
    <row r="32" spans="2:11" ht="21.6" x14ac:dyDescent="0.45">
      <c r="B32" s="62" t="s">
        <v>46</v>
      </c>
      <c r="C32" s="249" t="s">
        <v>47</v>
      </c>
      <c r="D32" s="249"/>
      <c r="E32" s="63">
        <f>+E31*$F$22/100</f>
        <v>28</v>
      </c>
      <c r="F32" s="63">
        <f t="shared" ref="F32:K32" si="0">+F31*$F$22/100</f>
        <v>35</v>
      </c>
      <c r="G32" s="63">
        <f t="shared" si="0"/>
        <v>42</v>
      </c>
      <c r="H32" s="63">
        <f t="shared" si="0"/>
        <v>49</v>
      </c>
      <c r="I32" s="63">
        <f t="shared" si="0"/>
        <v>56</v>
      </c>
      <c r="J32" s="63">
        <f t="shared" si="0"/>
        <v>63</v>
      </c>
      <c r="K32" s="64">
        <f t="shared" si="0"/>
        <v>70</v>
      </c>
    </row>
    <row r="33" spans="2:11" ht="21" x14ac:dyDescent="0.4">
      <c r="B33" s="62" t="s">
        <v>48</v>
      </c>
      <c r="C33" s="250" t="s">
        <v>49</v>
      </c>
      <c r="D33" s="250"/>
      <c r="E33" s="63">
        <v>0.47</v>
      </c>
      <c r="F33" s="63">
        <v>0.42</v>
      </c>
      <c r="G33" s="63">
        <v>0.39</v>
      </c>
      <c r="H33" s="63">
        <v>0.36</v>
      </c>
      <c r="I33" s="63">
        <v>0.34</v>
      </c>
      <c r="J33" s="63">
        <v>0.33</v>
      </c>
      <c r="K33" s="64">
        <v>0.32</v>
      </c>
    </row>
    <row r="34" spans="2:11" ht="21.6" x14ac:dyDescent="0.45">
      <c r="B34" s="62" t="s">
        <v>50</v>
      </c>
      <c r="C34" s="250" t="s">
        <v>51</v>
      </c>
      <c r="D34" s="250"/>
      <c r="E34" s="65">
        <f t="shared" ref="E34:K34" si="1">$F$24</f>
        <v>0.3</v>
      </c>
      <c r="F34" s="65">
        <f t="shared" si="1"/>
        <v>0.3</v>
      </c>
      <c r="G34" s="65">
        <f t="shared" si="1"/>
        <v>0.3</v>
      </c>
      <c r="H34" s="65">
        <f t="shared" si="1"/>
        <v>0.3</v>
      </c>
      <c r="I34" s="65">
        <f t="shared" si="1"/>
        <v>0.3</v>
      </c>
      <c r="J34" s="65">
        <f t="shared" si="1"/>
        <v>0.3</v>
      </c>
      <c r="K34" s="66">
        <f t="shared" si="1"/>
        <v>0.3</v>
      </c>
    </row>
    <row r="35" spans="2:11" ht="21" x14ac:dyDescent="0.4">
      <c r="B35" s="67" t="s">
        <v>52</v>
      </c>
      <c r="C35" s="68" t="s">
        <v>53</v>
      </c>
      <c r="D35" s="68"/>
      <c r="E35" s="69">
        <v>15</v>
      </c>
      <c r="F35" s="69">
        <v>15</v>
      </c>
      <c r="G35" s="69">
        <v>15</v>
      </c>
      <c r="H35" s="69">
        <v>25</v>
      </c>
      <c r="I35" s="69">
        <v>25</v>
      </c>
      <c r="J35" s="69">
        <v>25</v>
      </c>
      <c r="K35" s="70">
        <v>25</v>
      </c>
    </row>
    <row r="36" spans="2:11" ht="20.399999999999999" x14ac:dyDescent="0.55000000000000004">
      <c r="B36" s="71"/>
      <c r="C36" s="72"/>
      <c r="D36" s="73" t="s">
        <v>54</v>
      </c>
      <c r="E36" s="240" t="s">
        <v>55</v>
      </c>
      <c r="F36" s="241"/>
      <c r="G36" s="241"/>
      <c r="H36" s="241"/>
      <c r="I36" s="241"/>
      <c r="J36" s="241"/>
      <c r="K36" s="242"/>
    </row>
    <row r="37" spans="2:11" x14ac:dyDescent="0.35">
      <c r="B37" s="71"/>
      <c r="C37" s="72"/>
      <c r="D37" s="74">
        <v>5</v>
      </c>
      <c r="E37" s="75">
        <f t="shared" ref="E37:K47" si="2">MAX((E$32/3.6*E$32/3.6)/(2*10*(E$34+$D37/100)),E$35)</f>
        <v>15</v>
      </c>
      <c r="F37" s="75">
        <f t="shared" si="2"/>
        <v>15</v>
      </c>
      <c r="G37" s="75">
        <f t="shared" si="2"/>
        <v>19.444444444444446</v>
      </c>
      <c r="H37" s="75">
        <f t="shared" si="2"/>
        <v>26.466049382716051</v>
      </c>
      <c r="I37" s="75">
        <f t="shared" si="2"/>
        <v>34.567901234567898</v>
      </c>
      <c r="J37" s="75">
        <f t="shared" si="2"/>
        <v>43.75</v>
      </c>
      <c r="K37" s="76">
        <f t="shared" si="2"/>
        <v>54.012345679012348</v>
      </c>
    </row>
    <row r="38" spans="2:11" x14ac:dyDescent="0.35">
      <c r="B38" s="71"/>
      <c r="C38" s="72"/>
      <c r="D38" s="77">
        <v>4</v>
      </c>
      <c r="E38" s="75">
        <f t="shared" si="2"/>
        <v>15</v>
      </c>
      <c r="F38" s="75">
        <f t="shared" si="2"/>
        <v>15</v>
      </c>
      <c r="G38" s="75">
        <f t="shared" si="2"/>
        <v>20.016339869281051</v>
      </c>
      <c r="H38" s="75">
        <f t="shared" si="2"/>
        <v>27.244462599854764</v>
      </c>
      <c r="I38" s="75">
        <f t="shared" si="2"/>
        <v>35.584604212055197</v>
      </c>
      <c r="J38" s="75">
        <f t="shared" si="2"/>
        <v>45.036764705882362</v>
      </c>
      <c r="K38" s="76">
        <f t="shared" si="2"/>
        <v>55.600944081336252</v>
      </c>
    </row>
    <row r="39" spans="2:11" x14ac:dyDescent="0.35">
      <c r="B39" s="71"/>
      <c r="C39" s="72"/>
      <c r="D39" s="77">
        <v>3</v>
      </c>
      <c r="E39" s="75">
        <f t="shared" si="2"/>
        <v>15</v>
      </c>
      <c r="F39" s="75">
        <f t="shared" si="2"/>
        <v>15</v>
      </c>
      <c r="G39" s="75">
        <f t="shared" si="2"/>
        <v>20.622895622895623</v>
      </c>
      <c r="H39" s="75">
        <f t="shared" si="2"/>
        <v>28.070052375607933</v>
      </c>
      <c r="I39" s="75">
        <f t="shared" si="2"/>
        <v>36.662925551814439</v>
      </c>
      <c r="J39" s="75">
        <f t="shared" si="2"/>
        <v>46.401515151515156</v>
      </c>
      <c r="K39" s="76">
        <f t="shared" si="2"/>
        <v>57.285821174710065</v>
      </c>
    </row>
    <row r="40" spans="2:11" x14ac:dyDescent="0.35">
      <c r="B40" s="71"/>
      <c r="C40" s="72"/>
      <c r="D40" s="77">
        <v>2</v>
      </c>
      <c r="E40" s="75">
        <f t="shared" si="2"/>
        <v>15</v>
      </c>
      <c r="F40" s="75">
        <f t="shared" si="2"/>
        <v>15</v>
      </c>
      <c r="G40" s="75">
        <f t="shared" si="2"/>
        <v>21.267361111111111</v>
      </c>
      <c r="H40" s="75">
        <f t="shared" si="2"/>
        <v>28.947241512345681</v>
      </c>
      <c r="I40" s="75">
        <f t="shared" si="2"/>
        <v>37.808641975308639</v>
      </c>
      <c r="J40" s="75">
        <f t="shared" si="2"/>
        <v>47.8515625</v>
      </c>
      <c r="K40" s="76">
        <f t="shared" si="2"/>
        <v>59.076003086419753</v>
      </c>
    </row>
    <row r="41" spans="2:11" ht="18.600000000000001" thickBot="1" x14ac:dyDescent="0.4">
      <c r="B41" s="71"/>
      <c r="C41" s="72"/>
      <c r="D41" s="77">
        <v>1</v>
      </c>
      <c r="E41" s="78">
        <f t="shared" si="2"/>
        <v>15</v>
      </c>
      <c r="F41" s="78">
        <f t="shared" si="2"/>
        <v>15.24542015133413</v>
      </c>
      <c r="G41" s="78">
        <f t="shared" si="2"/>
        <v>21.953405017921146</v>
      </c>
      <c r="H41" s="78">
        <f t="shared" si="2"/>
        <v>29.881023496614894</v>
      </c>
      <c r="I41" s="78">
        <f t="shared" si="2"/>
        <v>39.028275587415365</v>
      </c>
      <c r="J41" s="78">
        <f t="shared" si="2"/>
        <v>49.395161290322577</v>
      </c>
      <c r="K41" s="79">
        <f t="shared" si="2"/>
        <v>60.981680605336521</v>
      </c>
    </row>
    <row r="42" spans="2:11" ht="18.600000000000001" thickBot="1" x14ac:dyDescent="0.4">
      <c r="B42" s="71"/>
      <c r="C42" s="72"/>
      <c r="D42" s="80">
        <v>0</v>
      </c>
      <c r="E42" s="81">
        <f t="shared" si="2"/>
        <v>15</v>
      </c>
      <c r="F42" s="81">
        <f t="shared" si="2"/>
        <v>15.753600823045268</v>
      </c>
      <c r="G42" s="81">
        <f t="shared" si="2"/>
        <v>22.685185185185187</v>
      </c>
      <c r="H42" s="81">
        <f t="shared" si="2"/>
        <v>30.877057613168727</v>
      </c>
      <c r="I42" s="81">
        <f t="shared" si="2"/>
        <v>40.329218106995881</v>
      </c>
      <c r="J42" s="81">
        <f t="shared" si="2"/>
        <v>51.041666666666664</v>
      </c>
      <c r="K42" s="82">
        <f t="shared" si="2"/>
        <v>63.014403292181072</v>
      </c>
    </row>
    <row r="43" spans="2:11" x14ac:dyDescent="0.35">
      <c r="B43" s="71"/>
      <c r="C43" s="72"/>
      <c r="D43" s="77">
        <v>-1</v>
      </c>
      <c r="E43" s="83">
        <f t="shared" si="2"/>
        <v>15</v>
      </c>
      <c r="F43" s="83">
        <f t="shared" si="2"/>
        <v>16.296828437633035</v>
      </c>
      <c r="G43" s="83">
        <f t="shared" si="2"/>
        <v>23.467432950191572</v>
      </c>
      <c r="H43" s="83">
        <f t="shared" si="2"/>
        <v>31.941783737760751</v>
      </c>
      <c r="I43" s="83">
        <f t="shared" si="2"/>
        <v>41.719880800340569</v>
      </c>
      <c r="J43" s="83">
        <f t="shared" si="2"/>
        <v>52.801724137931039</v>
      </c>
      <c r="K43" s="84">
        <f t="shared" si="2"/>
        <v>65.187313750532141</v>
      </c>
    </row>
    <row r="44" spans="2:11" x14ac:dyDescent="0.35">
      <c r="B44" s="71"/>
      <c r="C44" s="72"/>
      <c r="D44" s="77">
        <v>-2</v>
      </c>
      <c r="E44" s="75">
        <f t="shared" si="2"/>
        <v>15</v>
      </c>
      <c r="F44" s="75">
        <f t="shared" si="2"/>
        <v>16.878858024691361</v>
      </c>
      <c r="G44" s="75">
        <f t="shared" si="2"/>
        <v>24.305555555555557</v>
      </c>
      <c r="H44" s="75">
        <f t="shared" si="2"/>
        <v>33.082561728395063</v>
      </c>
      <c r="I44" s="75">
        <f t="shared" si="2"/>
        <v>43.209876543209873</v>
      </c>
      <c r="J44" s="75">
        <f t="shared" si="2"/>
        <v>54.6875</v>
      </c>
      <c r="K44" s="76">
        <f t="shared" si="2"/>
        <v>67.515432098765444</v>
      </c>
    </row>
    <row r="45" spans="2:11" x14ac:dyDescent="0.35">
      <c r="B45" s="71"/>
      <c r="C45" s="72"/>
      <c r="D45" s="77">
        <v>-3</v>
      </c>
      <c r="E45" s="75">
        <f t="shared" si="2"/>
        <v>15</v>
      </c>
      <c r="F45" s="75">
        <f t="shared" si="2"/>
        <v>17.504000914494743</v>
      </c>
      <c r="G45" s="75">
        <f t="shared" si="2"/>
        <v>25.205761316872426</v>
      </c>
      <c r="H45" s="75">
        <f t="shared" si="2"/>
        <v>34.30784179240969</v>
      </c>
      <c r="I45" s="75">
        <f t="shared" si="2"/>
        <v>44.81024234110653</v>
      </c>
      <c r="J45" s="75">
        <f t="shared" si="2"/>
        <v>56.712962962962962</v>
      </c>
      <c r="K45" s="76">
        <f t="shared" si="2"/>
        <v>70.01600365797897</v>
      </c>
    </row>
    <row r="46" spans="2:11" x14ac:dyDescent="0.35">
      <c r="B46" s="71"/>
      <c r="C46" s="72"/>
      <c r="D46" s="77">
        <v>-4</v>
      </c>
      <c r="E46" s="75">
        <f t="shared" si="2"/>
        <v>15</v>
      </c>
      <c r="F46" s="75">
        <f t="shared" si="2"/>
        <v>18.177231718898387</v>
      </c>
      <c r="G46" s="75">
        <f t="shared" si="2"/>
        <v>26.175213675213676</v>
      </c>
      <c r="H46" s="75">
        <f t="shared" si="2"/>
        <v>35.627374169040834</v>
      </c>
      <c r="I46" s="75">
        <f t="shared" si="2"/>
        <v>46.533713200379864</v>
      </c>
      <c r="J46" s="75">
        <f t="shared" si="2"/>
        <v>58.894230769230766</v>
      </c>
      <c r="K46" s="76">
        <f t="shared" si="2"/>
        <v>72.708926875593548</v>
      </c>
    </row>
    <row r="47" spans="2:11" ht="18.600000000000001" thickBot="1" x14ac:dyDescent="0.4">
      <c r="B47" s="85"/>
      <c r="C47" s="86"/>
      <c r="D47" s="87">
        <v>-5</v>
      </c>
      <c r="E47" s="88">
        <f t="shared" si="2"/>
        <v>15</v>
      </c>
      <c r="F47" s="88">
        <f t="shared" si="2"/>
        <v>18.904320987654323</v>
      </c>
      <c r="G47" s="88">
        <f t="shared" si="2"/>
        <v>27.222222222222221</v>
      </c>
      <c r="H47" s="88">
        <f t="shared" si="2"/>
        <v>37.052469135802468</v>
      </c>
      <c r="I47" s="88">
        <f t="shared" si="2"/>
        <v>48.395061728395056</v>
      </c>
      <c r="J47" s="88">
        <f t="shared" si="2"/>
        <v>61.25</v>
      </c>
      <c r="K47" s="89">
        <f t="shared" si="2"/>
        <v>75.617283950617292</v>
      </c>
    </row>
    <row r="48" spans="2:11" x14ac:dyDescent="0.35">
      <c r="B48" s="90"/>
      <c r="C48" s="90"/>
      <c r="D48" s="91"/>
      <c r="E48" s="92" t="s">
        <v>56</v>
      </c>
      <c r="F48" s="93"/>
      <c r="G48" s="93"/>
      <c r="H48" s="93"/>
      <c r="I48" s="93"/>
      <c r="J48" s="93"/>
      <c r="K48" s="94"/>
    </row>
    <row r="49" spans="5:11" ht="24.6" x14ac:dyDescent="0.55000000000000004">
      <c r="E49" s="95" t="s">
        <v>57</v>
      </c>
      <c r="F49" s="72"/>
      <c r="G49" s="72"/>
      <c r="H49" s="72"/>
      <c r="I49" s="72"/>
      <c r="J49" s="72"/>
      <c r="K49" s="96"/>
    </row>
    <row r="50" spans="5:11" x14ac:dyDescent="0.35">
      <c r="E50" s="97" t="s">
        <v>58</v>
      </c>
      <c r="F50" s="98"/>
      <c r="G50" s="98"/>
      <c r="H50" s="98"/>
      <c r="I50" s="98"/>
      <c r="J50" s="98"/>
      <c r="K50" s="99"/>
    </row>
    <row r="52" spans="5:11" x14ac:dyDescent="0.35">
      <c r="F52" s="100"/>
    </row>
  </sheetData>
  <sheetProtection algorithmName="SHA-512" hashValue="ziOGuO10jul63wzjiIPdsVp0aPySSExBZYFkoQS26zbHSQbwYmGbNijggInr1hy1rHcMxCmqLNP/QMBcoIkmhQ==" saltValue="kg39Iysnp8Q5NHy914CTBw==" spinCount="100000" sheet="1" objects="1" scenarios="1" selectLockedCells="1" selectUnlockedCells="1"/>
  <mergeCells count="7">
    <mergeCell ref="E36:K36"/>
    <mergeCell ref="B26:K26"/>
    <mergeCell ref="E30:K30"/>
    <mergeCell ref="C31:D31"/>
    <mergeCell ref="C32:D32"/>
    <mergeCell ref="C33:D33"/>
    <mergeCell ref="C34:D3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M58"/>
  <sheetViews>
    <sheetView showRuler="0" topLeftCell="A4" workbookViewId="0">
      <selection activeCell="M39" sqref="M39"/>
    </sheetView>
  </sheetViews>
  <sheetFormatPr baseColWidth="10" defaultColWidth="11.44140625" defaultRowHeight="13.2" x14ac:dyDescent="0.25"/>
  <cols>
    <col min="1" max="1" width="14.88671875" customWidth="1"/>
    <col min="2" max="2" width="30" customWidth="1"/>
    <col min="3" max="11" width="7.6640625" customWidth="1"/>
  </cols>
  <sheetData>
    <row r="1" spans="1:13" ht="15.6" x14ac:dyDescent="0.3">
      <c r="A1" s="116" t="s">
        <v>62</v>
      </c>
    </row>
    <row r="2" spans="1:13" x14ac:dyDescent="0.25">
      <c r="A2" s="117" t="s">
        <v>213</v>
      </c>
    </row>
    <row r="4" spans="1:13" x14ac:dyDescent="0.25">
      <c r="A4" s="118" t="s">
        <v>63</v>
      </c>
      <c r="B4" s="117" t="s">
        <v>64</v>
      </c>
      <c r="E4" s="119" t="s">
        <v>65</v>
      </c>
      <c r="F4" s="166">
        <f>Venstresvingefelt!F11</f>
        <v>0</v>
      </c>
      <c r="G4" s="120" t="e">
        <f>3600/F4</f>
        <v>#DIV/0!</v>
      </c>
      <c r="H4" s="118" t="s">
        <v>66</v>
      </c>
      <c r="I4" s="121">
        <f>+F4+F5</f>
        <v>300</v>
      </c>
      <c r="J4" s="120">
        <f>3600/I4</f>
        <v>12</v>
      </c>
      <c r="K4" s="122" t="s">
        <v>67</v>
      </c>
    </row>
    <row r="5" spans="1:13" ht="13.8" x14ac:dyDescent="0.3">
      <c r="B5" s="117" t="s">
        <v>68</v>
      </c>
      <c r="E5" s="123" t="s">
        <v>69</v>
      </c>
      <c r="F5" s="166">
        <f>Venstresvingefelt!F13</f>
        <v>300</v>
      </c>
      <c r="G5" s="120">
        <f>3600/F5</f>
        <v>12</v>
      </c>
      <c r="H5" s="118" t="s">
        <v>70</v>
      </c>
    </row>
    <row r="6" spans="1:13" x14ac:dyDescent="0.25">
      <c r="F6" s="124" t="s">
        <v>71</v>
      </c>
      <c r="G6" s="124" t="s">
        <v>72</v>
      </c>
    </row>
    <row r="7" spans="1:13" x14ac:dyDescent="0.25">
      <c r="C7" s="124" t="s">
        <v>72</v>
      </c>
      <c r="D7" s="124" t="s">
        <v>71</v>
      </c>
    </row>
    <row r="8" spans="1:13" ht="13.8" x14ac:dyDescent="0.3">
      <c r="B8" s="125" t="s">
        <v>73</v>
      </c>
      <c r="C8" s="120">
        <f>3600/D8</f>
        <v>4.5</v>
      </c>
      <c r="D8" s="166">
        <f>Venstresvingefelt!D15</f>
        <v>800</v>
      </c>
      <c r="E8" s="126" t="s">
        <v>74</v>
      </c>
    </row>
    <row r="9" spans="1:13" x14ac:dyDescent="0.25">
      <c r="I9" s="127" t="s">
        <v>75</v>
      </c>
    </row>
    <row r="11" spans="1:13" x14ac:dyDescent="0.25">
      <c r="A11" s="118" t="s">
        <v>76</v>
      </c>
      <c r="B11" t="s">
        <v>77</v>
      </c>
      <c r="D11" t="s">
        <v>71</v>
      </c>
      <c r="E11">
        <f>+D8+F4+F5</f>
        <v>1100</v>
      </c>
      <c r="I11" t="s">
        <v>78</v>
      </c>
    </row>
    <row r="12" spans="1:13" x14ac:dyDescent="0.25">
      <c r="A12" s="118" t="s">
        <v>79</v>
      </c>
    </row>
    <row r="13" spans="1:13" x14ac:dyDescent="0.25">
      <c r="B13" t="s">
        <v>80</v>
      </c>
      <c r="D13" t="s">
        <v>81</v>
      </c>
      <c r="E13" s="128">
        <v>10</v>
      </c>
      <c r="I13" t="s">
        <v>82</v>
      </c>
    </row>
    <row r="14" spans="1:13" x14ac:dyDescent="0.25">
      <c r="B14" t="s">
        <v>83</v>
      </c>
      <c r="D14" t="s">
        <v>84</v>
      </c>
      <c r="E14">
        <f>+E11*100/E13</f>
        <v>11000</v>
      </c>
      <c r="I14" t="s">
        <v>85</v>
      </c>
    </row>
    <row r="15" spans="1:13" x14ac:dyDescent="0.25">
      <c r="B15" t="s">
        <v>86</v>
      </c>
      <c r="D15" t="s">
        <v>81</v>
      </c>
      <c r="E15" s="128">
        <v>100</v>
      </c>
      <c r="I15" t="s">
        <v>87</v>
      </c>
    </row>
    <row r="16" spans="1:13" x14ac:dyDescent="0.25">
      <c r="B16" t="s">
        <v>88</v>
      </c>
      <c r="D16" t="s">
        <v>84</v>
      </c>
      <c r="E16">
        <f>+E14*E15/100</f>
        <v>11000</v>
      </c>
      <c r="I16" t="s">
        <v>89</v>
      </c>
      <c r="M16" s="129"/>
    </row>
    <row r="17" spans="1:9" x14ac:dyDescent="0.25">
      <c r="G17" s="117"/>
    </row>
    <row r="18" spans="1:9" x14ac:dyDescent="0.25">
      <c r="B18" t="s">
        <v>90</v>
      </c>
      <c r="D18" t="s">
        <v>81</v>
      </c>
      <c r="E18" s="130">
        <f>+F5/I4*100</f>
        <v>100</v>
      </c>
      <c r="I18" t="s">
        <v>91</v>
      </c>
    </row>
    <row r="19" spans="1:9" x14ac:dyDescent="0.25">
      <c r="B19" t="s">
        <v>92</v>
      </c>
      <c r="D19" t="s">
        <v>81</v>
      </c>
      <c r="E19" s="130">
        <f>+D8/E11*100</f>
        <v>72.727272727272734</v>
      </c>
      <c r="I19" t="s">
        <v>93</v>
      </c>
    </row>
    <row r="20" spans="1:9" x14ac:dyDescent="0.25">
      <c r="B20" t="s">
        <v>94</v>
      </c>
      <c r="D20" t="s">
        <v>81</v>
      </c>
      <c r="E20" s="130">
        <f>+I4/E11*100</f>
        <v>27.27272727272727</v>
      </c>
      <c r="I20" t="s">
        <v>95</v>
      </c>
    </row>
    <row r="21" spans="1:9" x14ac:dyDescent="0.25">
      <c r="G21" s="129"/>
    </row>
    <row r="23" spans="1:9" x14ac:dyDescent="0.25">
      <c r="A23" s="118" t="s">
        <v>96</v>
      </c>
      <c r="B23" t="s">
        <v>97</v>
      </c>
      <c r="C23" t="s">
        <v>98</v>
      </c>
      <c r="D23" t="s">
        <v>81</v>
      </c>
      <c r="E23" s="169">
        <f>Venstresvingefelt!C8</f>
        <v>10</v>
      </c>
    </row>
    <row r="24" spans="1:9" x14ac:dyDescent="0.25">
      <c r="B24" t="s">
        <v>99</v>
      </c>
      <c r="C24" t="s">
        <v>1</v>
      </c>
      <c r="D24" t="s">
        <v>81</v>
      </c>
      <c r="E24" s="169">
        <f>Venstresvingefelt!C6</f>
        <v>-1</v>
      </c>
      <c r="I24" s="131" t="s">
        <v>100</v>
      </c>
    </row>
    <row r="25" spans="1:9" x14ac:dyDescent="0.25">
      <c r="B25" t="s">
        <v>101</v>
      </c>
      <c r="C25" t="s">
        <v>102</v>
      </c>
      <c r="D25" t="s">
        <v>103</v>
      </c>
      <c r="E25" s="128">
        <v>7</v>
      </c>
      <c r="I25" t="s">
        <v>104</v>
      </c>
    </row>
    <row r="26" spans="1:9" x14ac:dyDescent="0.25">
      <c r="B26" t="s">
        <v>105</v>
      </c>
      <c r="C26" t="s">
        <v>106</v>
      </c>
      <c r="D26" t="s">
        <v>103</v>
      </c>
      <c r="E26" s="128">
        <v>13</v>
      </c>
      <c r="I26" t="s">
        <v>104</v>
      </c>
    </row>
    <row r="28" spans="1:9" x14ac:dyDescent="0.25">
      <c r="B28" t="s">
        <v>61</v>
      </c>
      <c r="C28" t="s">
        <v>107</v>
      </c>
      <c r="D28" t="s">
        <v>108</v>
      </c>
      <c r="E28" s="169">
        <f>Venstresvingefelt!C4</f>
        <v>60</v>
      </c>
      <c r="F28" s="130">
        <f>+E28/3.6</f>
        <v>16.666666666666668</v>
      </c>
      <c r="G28" t="s">
        <v>109</v>
      </c>
    </row>
    <row r="29" spans="1:9" x14ac:dyDescent="0.25">
      <c r="B29" t="s">
        <v>110</v>
      </c>
      <c r="C29" t="s">
        <v>111</v>
      </c>
      <c r="D29" t="s">
        <v>108</v>
      </c>
      <c r="E29" s="154">
        <f>0.7*E28</f>
        <v>42</v>
      </c>
      <c r="F29" s="130">
        <f>+E29/3.6</f>
        <v>11.666666666666666</v>
      </c>
      <c r="G29" t="s">
        <v>109</v>
      </c>
      <c r="I29" t="s">
        <v>112</v>
      </c>
    </row>
    <row r="30" spans="1:9" x14ac:dyDescent="0.25">
      <c r="B30" t="s">
        <v>113</v>
      </c>
      <c r="C30" t="s">
        <v>114</v>
      </c>
      <c r="D30" t="s">
        <v>115</v>
      </c>
      <c r="E30" s="155">
        <f>'Beregning retardasjonsstrekning'!F21</f>
        <v>3</v>
      </c>
      <c r="I30" t="s">
        <v>112</v>
      </c>
    </row>
    <row r="31" spans="1:9" x14ac:dyDescent="0.25">
      <c r="E31" s="129"/>
    </row>
    <row r="32" spans="1:9" x14ac:dyDescent="0.25">
      <c r="B32" t="s">
        <v>116</v>
      </c>
      <c r="C32" t="s">
        <v>117</v>
      </c>
      <c r="D32" t="s">
        <v>118</v>
      </c>
      <c r="E32" s="132">
        <v>5</v>
      </c>
      <c r="I32" t="s">
        <v>119</v>
      </c>
    </row>
    <row r="33" spans="1:9" x14ac:dyDescent="0.25">
      <c r="B33" t="s">
        <v>120</v>
      </c>
      <c r="C33" t="s">
        <v>121</v>
      </c>
      <c r="D33" t="s">
        <v>118</v>
      </c>
      <c r="E33" s="132">
        <v>3</v>
      </c>
      <c r="F33" s="130">
        <f>+E33/E32*100</f>
        <v>60</v>
      </c>
      <c r="G33" t="s">
        <v>81</v>
      </c>
      <c r="I33" t="s">
        <v>119</v>
      </c>
    </row>
    <row r="36" spans="1:9" x14ac:dyDescent="0.25">
      <c r="E36" s="125" t="s">
        <v>70</v>
      </c>
      <c r="F36" s="125" t="s">
        <v>66</v>
      </c>
      <c r="G36" s="125" t="s">
        <v>66</v>
      </c>
      <c r="H36" s="133"/>
    </row>
    <row r="37" spans="1:9" x14ac:dyDescent="0.25">
      <c r="E37" s="125" t="s">
        <v>122</v>
      </c>
      <c r="F37" s="125" t="s">
        <v>123</v>
      </c>
      <c r="G37" s="125" t="s">
        <v>122</v>
      </c>
      <c r="H37" s="133"/>
    </row>
    <row r="38" spans="1:9" x14ac:dyDescent="0.25">
      <c r="A38" s="118" t="s">
        <v>124</v>
      </c>
      <c r="B38" t="s">
        <v>125</v>
      </c>
      <c r="C38" t="s">
        <v>126</v>
      </c>
      <c r="D38" t="s">
        <v>118</v>
      </c>
      <c r="E38" s="134">
        <f>IF(E32&lt;0,-E32,+E32+(E28-50)*0.4/10)</f>
        <v>5.4</v>
      </c>
      <c r="F38" s="134">
        <f>+E52</f>
        <v>17.736729929515949</v>
      </c>
      <c r="G38" s="135"/>
    </row>
    <row r="39" spans="1:9" x14ac:dyDescent="0.25">
      <c r="B39" t="s">
        <v>127</v>
      </c>
      <c r="C39" t="s">
        <v>128</v>
      </c>
      <c r="D39" t="s">
        <v>118</v>
      </c>
      <c r="E39" s="134">
        <f>IF(E33&lt;0,-E33,+ABS(E38*E33/E32))</f>
        <v>3.2400000000000007</v>
      </c>
      <c r="F39" s="134">
        <f>+F38*E39/E38</f>
        <v>10.642037957709571</v>
      </c>
      <c r="G39" s="135"/>
    </row>
    <row r="41" spans="1:9" x14ac:dyDescent="0.25">
      <c r="B41" t="s">
        <v>129</v>
      </c>
      <c r="C41" t="s">
        <v>130</v>
      </c>
      <c r="D41" t="s">
        <v>71</v>
      </c>
      <c r="E41" s="136">
        <f>+F5</f>
        <v>300</v>
      </c>
      <c r="F41" s="136">
        <f>+F4</f>
        <v>0</v>
      </c>
      <c r="G41" s="136">
        <f>+F41</f>
        <v>0</v>
      </c>
    </row>
    <row r="42" spans="1:9" x14ac:dyDescent="0.25">
      <c r="B42" t="s">
        <v>131</v>
      </c>
      <c r="C42" t="s">
        <v>132</v>
      </c>
      <c r="E42" s="135">
        <f>+D8</f>
        <v>800</v>
      </c>
      <c r="F42" s="135">
        <f>+F5</f>
        <v>300</v>
      </c>
      <c r="G42" s="135">
        <f>+F42</f>
        <v>300</v>
      </c>
    </row>
    <row r="43" spans="1:9" x14ac:dyDescent="0.25">
      <c r="B43" t="s">
        <v>133</v>
      </c>
      <c r="C43" t="s">
        <v>134</v>
      </c>
      <c r="D43" t="s">
        <v>71</v>
      </c>
      <c r="E43" s="137">
        <f>+E42*(EXP(-E42/3600*E38))/(1-EXP(-E42/3600*E39))</f>
        <v>469.47185316993716</v>
      </c>
      <c r="F43" s="137">
        <f>+F42*(EXP(-F42/3600*F38))/(1-EXP(-F42/3600*F39))</f>
        <v>116.35859010271547</v>
      </c>
      <c r="G43" s="138">
        <f>1800*(100-E48)/100</f>
        <v>725.01990526451755</v>
      </c>
      <c r="H43" s="139"/>
    </row>
    <row r="44" spans="1:9" x14ac:dyDescent="0.25">
      <c r="B44" t="s">
        <v>135</v>
      </c>
      <c r="C44" t="s">
        <v>136</v>
      </c>
      <c r="E44" s="140">
        <f>(1-((E23-10)/100))*(1-0.07*E24)</f>
        <v>1.07</v>
      </c>
      <c r="F44" s="140">
        <f>+E44</f>
        <v>1.07</v>
      </c>
      <c r="G44" s="140">
        <f>+F44</f>
        <v>1.07</v>
      </c>
      <c r="H44" s="141"/>
    </row>
    <row r="45" spans="1:9" x14ac:dyDescent="0.25">
      <c r="B45" t="s">
        <v>137</v>
      </c>
      <c r="C45" t="s">
        <v>138</v>
      </c>
      <c r="D45" t="s">
        <v>71</v>
      </c>
      <c r="E45" s="142">
        <f>MAX(+E43*E44,10)</f>
        <v>502.33488289183282</v>
      </c>
      <c r="F45" s="142">
        <f>MAX(+F43*F44,10)</f>
        <v>124.50369140990556</v>
      </c>
      <c r="G45" s="142">
        <f>MAX(+G43*G44,10)</f>
        <v>775.77129863303378</v>
      </c>
      <c r="H45" s="143"/>
      <c r="I45" t="s">
        <v>139</v>
      </c>
    </row>
    <row r="46" spans="1:9" x14ac:dyDescent="0.25">
      <c r="H46" s="143"/>
    </row>
    <row r="47" spans="1:9" x14ac:dyDescent="0.25">
      <c r="B47" t="s">
        <v>140</v>
      </c>
      <c r="C47" t="s">
        <v>141</v>
      </c>
      <c r="D47" t="s">
        <v>71</v>
      </c>
      <c r="E47" s="137">
        <f>MAX(E45-E41,10)</f>
        <v>202.33488289183282</v>
      </c>
      <c r="F47" s="137">
        <f>MAX(F45-F41,10)</f>
        <v>124.50369140990556</v>
      </c>
      <c r="G47" s="137">
        <f>MAX(G45-G41,10)</f>
        <v>775.77129863303378</v>
      </c>
      <c r="H47" s="143"/>
      <c r="I47" s="117" t="s">
        <v>142</v>
      </c>
    </row>
    <row r="48" spans="1:9" x14ac:dyDescent="0.25">
      <c r="B48" t="s">
        <v>143</v>
      </c>
      <c r="C48" t="s">
        <v>144</v>
      </c>
      <c r="D48" t="s">
        <v>81</v>
      </c>
      <c r="E48" s="134">
        <f>IF(E45&gt;1,+E41/E45*100,999)</f>
        <v>59.721116374193471</v>
      </c>
      <c r="F48" s="134">
        <f>IF(F45&gt;1,+F41/F45*100,999)</f>
        <v>0</v>
      </c>
      <c r="G48" s="134">
        <f>IF(G45&gt;1,+G41/G45*100,999)</f>
        <v>0</v>
      </c>
      <c r="H48" s="130"/>
    </row>
    <row r="49" spans="2:9" x14ac:dyDescent="0.25">
      <c r="B49" t="s">
        <v>145</v>
      </c>
      <c r="C49" t="s">
        <v>146</v>
      </c>
      <c r="D49" t="s">
        <v>81</v>
      </c>
      <c r="E49" s="144">
        <f>+E48</f>
        <v>59.721116374193471</v>
      </c>
      <c r="F49" s="144">
        <f>+F48</f>
        <v>0</v>
      </c>
      <c r="G49" s="134">
        <v>0</v>
      </c>
      <c r="H49" s="130"/>
    </row>
    <row r="50" spans="2:9" x14ac:dyDescent="0.25">
      <c r="B50" s="117" t="s">
        <v>147</v>
      </c>
      <c r="C50" t="s">
        <v>148</v>
      </c>
      <c r="D50" t="s">
        <v>118</v>
      </c>
      <c r="E50" s="144">
        <f>3600/E47-2</f>
        <v>15.792285485071506</v>
      </c>
      <c r="F50" s="144">
        <f>3600/F47-2</f>
        <v>26.914805330130019</v>
      </c>
      <c r="G50" s="134">
        <v>0</v>
      </c>
      <c r="H50" s="130"/>
    </row>
    <row r="51" spans="2:9" x14ac:dyDescent="0.25">
      <c r="B51" s="117" t="s">
        <v>149</v>
      </c>
      <c r="C51" s="117" t="s">
        <v>150</v>
      </c>
      <c r="D51" s="117" t="s">
        <v>151</v>
      </c>
      <c r="E51" s="145">
        <f>+E50*E41/3600</f>
        <v>1.3160237904226255</v>
      </c>
      <c r="F51" s="145">
        <f>+F50*F41/3600</f>
        <v>0</v>
      </c>
      <c r="G51" s="140">
        <v>0</v>
      </c>
      <c r="H51" s="141"/>
      <c r="I51" s="117" t="s">
        <v>152</v>
      </c>
    </row>
    <row r="52" spans="2:9" x14ac:dyDescent="0.25">
      <c r="B52" t="s">
        <v>153</v>
      </c>
      <c r="C52" t="s">
        <v>154</v>
      </c>
      <c r="D52" t="s">
        <v>118</v>
      </c>
      <c r="E52" s="134">
        <f>+E50+0.5*(F29/E30)</f>
        <v>17.736729929515949</v>
      </c>
      <c r="F52" s="134"/>
      <c r="G52" s="134"/>
      <c r="H52" s="130"/>
    </row>
    <row r="53" spans="2:9" x14ac:dyDescent="0.25">
      <c r="H53" s="130"/>
    </row>
    <row r="54" spans="2:9" x14ac:dyDescent="0.25">
      <c r="B54" t="s">
        <v>155</v>
      </c>
      <c r="C54" t="s">
        <v>156</v>
      </c>
      <c r="D54" t="s">
        <v>157</v>
      </c>
      <c r="E54" s="134">
        <f>+E51</f>
        <v>1.3160237904226255</v>
      </c>
      <c r="F54" s="134">
        <f>+F51</f>
        <v>0</v>
      </c>
      <c r="G54" s="134"/>
      <c r="H54" s="130"/>
    </row>
    <row r="55" spans="2:9" x14ac:dyDescent="0.25">
      <c r="B55" t="s">
        <v>158</v>
      </c>
      <c r="C55" t="s">
        <v>159</v>
      </c>
      <c r="D55" t="s">
        <v>157</v>
      </c>
      <c r="E55" s="134">
        <f>IF(E54&lt;1,1+2.3*E54,3.3+2.5*(E54-1))</f>
        <v>4.0900594760565632</v>
      </c>
      <c r="F55" s="134"/>
      <c r="G55" s="134"/>
      <c r="H55" s="130"/>
    </row>
    <row r="56" spans="2:9" x14ac:dyDescent="0.25">
      <c r="B56" t="s">
        <v>160</v>
      </c>
      <c r="C56" t="s">
        <v>161</v>
      </c>
      <c r="D56" t="s">
        <v>157</v>
      </c>
      <c r="E56" s="134">
        <f>IF(E54&lt;1,1+3.3*E54,4.3+3*(E54-1))</f>
        <v>5.2480713712678764</v>
      </c>
      <c r="F56" s="134"/>
      <c r="G56" s="134"/>
      <c r="H56" s="130"/>
    </row>
    <row r="57" spans="2:9" x14ac:dyDescent="0.25">
      <c r="B57" t="s">
        <v>158</v>
      </c>
      <c r="C57" t="s">
        <v>159</v>
      </c>
      <c r="D57" s="117" t="s">
        <v>103</v>
      </c>
      <c r="E57" s="144">
        <f>+E55*(($E$25*(100-$E$23)/100)+($E$26*$E$23/100))</f>
        <v>31.084452018029879</v>
      </c>
      <c r="F57" s="146"/>
      <c r="G57" s="135"/>
    </row>
    <row r="58" spans="2:9" x14ac:dyDescent="0.25">
      <c r="B58" t="s">
        <v>160</v>
      </c>
      <c r="C58" t="s">
        <v>161</v>
      </c>
      <c r="D58" s="117" t="s">
        <v>103</v>
      </c>
      <c r="E58" s="144">
        <f>+E56*(($E$25*(100-$E$23)/100)+($E$26*$E$23/100))</f>
        <v>39.885342421635862</v>
      </c>
      <c r="F58" s="146"/>
      <c r="G58" s="135"/>
    </row>
  </sheetData>
  <sheetProtection algorithmName="SHA-512" hashValue="QlZVub9AoG1jHuml1DCzT2o3InTAunh3ztPBo1K39SPo8joNcqdVXIhpW8U9vcSSJnjruNruzn5ebttbdKFlAg==" saltValue="PBLgDHLfSrh3oxgb4GrKog==" spinCount="100000" sheet="1" objects="1" scenarios="1" selectLockedCells="1" selectUnlockedCells="1"/>
  <pageMargins left="0.7" right="0.7" top="0.78740157499999996" bottom="0.78740157499999996" header="0.3" footer="0.3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B1:R32"/>
  <sheetViews>
    <sheetView showRuler="0" zoomScale="70" zoomScaleNormal="70" workbookViewId="0">
      <selection activeCell="G29" sqref="G29"/>
    </sheetView>
  </sheetViews>
  <sheetFormatPr baseColWidth="10" defaultColWidth="11.44140625" defaultRowHeight="13.2" x14ac:dyDescent="0.25"/>
  <cols>
    <col min="1" max="14" width="11.44140625" style="3"/>
    <col min="15" max="15" width="37.5546875" style="3" customWidth="1"/>
    <col min="16" max="16384" width="11.44140625" style="3"/>
  </cols>
  <sheetData>
    <row r="1" spans="2:18" ht="13.8" thickBot="1" x14ac:dyDescent="0.3"/>
    <row r="2" spans="2:18" x14ac:dyDescent="0.25">
      <c r="B2" s="102" t="s">
        <v>61</v>
      </c>
      <c r="C2" s="109" t="s">
        <v>60</v>
      </c>
      <c r="E2" s="102" t="s">
        <v>0</v>
      </c>
      <c r="F2" s="109" t="s">
        <v>59</v>
      </c>
      <c r="I2" s="205"/>
      <c r="J2" s="207"/>
      <c r="K2" s="207"/>
      <c r="L2" s="207"/>
      <c r="M2" s="207"/>
      <c r="N2" s="207"/>
      <c r="O2" s="207"/>
      <c r="P2" s="207"/>
      <c r="Q2" s="207"/>
      <c r="R2" s="207"/>
    </row>
    <row r="3" spans="2:18" ht="13.8" thickBot="1" x14ac:dyDescent="0.3">
      <c r="B3" s="103"/>
      <c r="C3" s="112"/>
      <c r="E3" s="110"/>
      <c r="F3" s="111"/>
      <c r="I3" s="205"/>
      <c r="J3" s="209" t="s">
        <v>195</v>
      </c>
      <c r="K3" s="210"/>
      <c r="L3" s="204" t="s">
        <v>211</v>
      </c>
      <c r="M3" s="207"/>
      <c r="N3" s="209" t="s">
        <v>196</v>
      </c>
      <c r="O3" s="210"/>
      <c r="P3" s="204" t="s">
        <v>206</v>
      </c>
      <c r="Q3" s="210"/>
      <c r="R3" s="207"/>
    </row>
    <row r="4" spans="2:18" x14ac:dyDescent="0.25">
      <c r="B4" s="105">
        <v>40</v>
      </c>
      <c r="C4" s="149">
        <f>Venstresvingefelt!C4</f>
        <v>60</v>
      </c>
      <c r="E4" s="148">
        <v>-5</v>
      </c>
      <c r="F4" s="149">
        <f>Venstresvingefelt!C6</f>
        <v>-1</v>
      </c>
      <c r="I4" s="205"/>
      <c r="J4" s="207"/>
      <c r="K4" s="207"/>
      <c r="L4" s="207"/>
      <c r="M4" s="207"/>
      <c r="N4" s="207"/>
      <c r="O4" s="207"/>
      <c r="P4" s="207"/>
      <c r="Q4" s="207"/>
      <c r="R4" s="207"/>
    </row>
    <row r="5" spans="2:18" x14ac:dyDescent="0.25">
      <c r="B5" s="106">
        <v>50</v>
      </c>
      <c r="C5" s="112"/>
      <c r="E5" s="106">
        <v>-4</v>
      </c>
      <c r="F5" s="112"/>
      <c r="I5" s="205"/>
      <c r="J5" s="207"/>
      <c r="K5" s="207"/>
      <c r="L5" s="207"/>
      <c r="M5" s="207"/>
      <c r="N5" s="207"/>
      <c r="O5" s="207"/>
      <c r="P5" s="207"/>
      <c r="Q5" s="207"/>
      <c r="R5" s="207"/>
    </row>
    <row r="6" spans="2:18" x14ac:dyDescent="0.25">
      <c r="B6" s="107">
        <v>60</v>
      </c>
      <c r="C6" s="112"/>
      <c r="E6" s="106">
        <v>-3</v>
      </c>
      <c r="F6" s="112"/>
      <c r="I6" s="205"/>
      <c r="J6" s="209" t="s">
        <v>194</v>
      </c>
      <c r="K6" s="210"/>
      <c r="L6" s="210"/>
      <c r="M6" s="210"/>
      <c r="N6" s="210"/>
      <c r="O6" s="210"/>
      <c r="P6" s="207"/>
      <c r="Q6" s="210"/>
      <c r="R6" s="207"/>
    </row>
    <row r="7" spans="2:18" x14ac:dyDescent="0.25">
      <c r="B7" s="106">
        <v>70</v>
      </c>
      <c r="C7" s="112"/>
      <c r="E7" s="106">
        <v>-2</v>
      </c>
      <c r="F7" s="112"/>
      <c r="I7" s="205"/>
      <c r="J7" s="211" t="s">
        <v>198</v>
      </c>
      <c r="K7" s="209" t="s">
        <v>199</v>
      </c>
      <c r="L7" s="209" t="s">
        <v>200</v>
      </c>
      <c r="M7" s="209"/>
      <c r="N7" s="210"/>
      <c r="O7" s="210"/>
      <c r="P7" s="209" t="s">
        <v>201</v>
      </c>
      <c r="Q7" s="210"/>
      <c r="R7" s="210"/>
    </row>
    <row r="8" spans="2:18" x14ac:dyDescent="0.25">
      <c r="B8" s="107">
        <v>80</v>
      </c>
      <c r="C8" s="112"/>
      <c r="E8" s="106">
        <v>-1</v>
      </c>
      <c r="F8" s="112"/>
      <c r="I8" s="205"/>
      <c r="J8" s="204" t="s">
        <v>205</v>
      </c>
      <c r="K8" s="204" t="s">
        <v>203</v>
      </c>
      <c r="L8" s="204" t="s">
        <v>62</v>
      </c>
      <c r="M8" s="212"/>
      <c r="N8" s="212"/>
      <c r="O8" s="212"/>
      <c r="P8" s="204" t="s">
        <v>210</v>
      </c>
      <c r="Q8" s="212"/>
      <c r="R8" s="212"/>
    </row>
    <row r="9" spans="2:18" x14ac:dyDescent="0.25">
      <c r="B9" s="106">
        <v>90</v>
      </c>
      <c r="C9" s="112"/>
      <c r="E9" s="106">
        <v>0</v>
      </c>
      <c r="F9" s="112"/>
      <c r="I9" s="205"/>
      <c r="J9" s="204" t="s">
        <v>205</v>
      </c>
      <c r="K9" s="204" t="s">
        <v>203</v>
      </c>
      <c r="L9" s="204" t="s">
        <v>204</v>
      </c>
      <c r="M9" s="212"/>
      <c r="N9" s="212"/>
      <c r="O9" s="212"/>
      <c r="P9" s="204" t="s">
        <v>209</v>
      </c>
      <c r="Q9" s="212"/>
      <c r="R9" s="212"/>
    </row>
    <row r="10" spans="2:18" ht="13.8" thickBot="1" x14ac:dyDescent="0.3">
      <c r="B10" s="108">
        <v>100</v>
      </c>
      <c r="C10" s="115"/>
      <c r="E10" s="106">
        <v>1</v>
      </c>
      <c r="F10" s="111"/>
      <c r="I10" s="205"/>
      <c r="J10" s="206" t="s">
        <v>205</v>
      </c>
      <c r="K10" s="204" t="s">
        <v>197</v>
      </c>
      <c r="L10" s="204" t="s">
        <v>207</v>
      </c>
      <c r="M10" s="212"/>
      <c r="N10" s="212"/>
      <c r="O10" s="212"/>
      <c r="P10" s="213" t="s">
        <v>202</v>
      </c>
      <c r="Q10" s="212"/>
      <c r="R10" s="212"/>
    </row>
    <row r="11" spans="2:18" x14ac:dyDescent="0.25">
      <c r="B11" s="114"/>
      <c r="C11" s="104"/>
      <c r="E11" s="107">
        <v>2</v>
      </c>
      <c r="F11" s="111"/>
      <c r="I11" s="205"/>
      <c r="J11" s="217" t="s">
        <v>211</v>
      </c>
      <c r="K11" s="212" t="s">
        <v>214</v>
      </c>
      <c r="L11" s="212" t="s">
        <v>212</v>
      </c>
      <c r="M11" s="212"/>
      <c r="N11" s="212"/>
      <c r="O11" s="212"/>
      <c r="P11" s="212" t="s">
        <v>209</v>
      </c>
      <c r="Q11" s="212"/>
      <c r="R11" s="212"/>
    </row>
    <row r="12" spans="2:18" x14ac:dyDescent="0.25">
      <c r="B12" s="114"/>
      <c r="C12" s="104"/>
      <c r="E12" s="107">
        <v>3</v>
      </c>
      <c r="F12" s="111"/>
      <c r="I12" s="205"/>
      <c r="J12" s="212" t="s">
        <v>215</v>
      </c>
      <c r="K12" s="212" t="s">
        <v>216</v>
      </c>
      <c r="L12" s="212" t="s">
        <v>217</v>
      </c>
      <c r="M12" s="212"/>
      <c r="N12" s="212"/>
      <c r="O12" s="212"/>
      <c r="P12" s="212" t="s">
        <v>209</v>
      </c>
      <c r="Q12" s="212"/>
      <c r="R12" s="212"/>
    </row>
    <row r="13" spans="2:18" x14ac:dyDescent="0.25">
      <c r="B13" s="114"/>
      <c r="C13" s="104"/>
      <c r="E13" s="107">
        <v>4</v>
      </c>
      <c r="F13" s="111"/>
      <c r="I13" s="205"/>
      <c r="J13" s="212"/>
      <c r="K13" s="212"/>
      <c r="L13" s="212"/>
      <c r="M13" s="212"/>
      <c r="N13" s="212"/>
      <c r="O13" s="212"/>
      <c r="P13" s="212"/>
      <c r="Q13" s="212"/>
      <c r="R13" s="212"/>
    </row>
    <row r="14" spans="2:18" ht="13.8" thickBot="1" x14ac:dyDescent="0.3">
      <c r="B14" s="114"/>
      <c r="C14" s="104"/>
      <c r="E14" s="108">
        <v>5</v>
      </c>
      <c r="F14" s="113"/>
      <c r="I14" s="205"/>
      <c r="J14" s="212"/>
      <c r="K14" s="212"/>
      <c r="L14" s="212"/>
      <c r="M14" s="212"/>
      <c r="N14" s="212"/>
      <c r="O14" s="212"/>
      <c r="P14" s="212"/>
      <c r="Q14" s="212"/>
      <c r="R14" s="212"/>
    </row>
    <row r="15" spans="2:18" x14ac:dyDescent="0.25">
      <c r="B15" s="104"/>
      <c r="C15" s="104"/>
      <c r="I15" s="205"/>
      <c r="J15" s="212"/>
      <c r="K15" s="212"/>
      <c r="L15" s="212"/>
      <c r="M15" s="212"/>
      <c r="N15" s="212"/>
      <c r="O15" s="212"/>
      <c r="P15" s="212"/>
      <c r="Q15" s="212"/>
      <c r="R15" s="212"/>
    </row>
    <row r="16" spans="2:18" x14ac:dyDescent="0.25">
      <c r="B16" s="114"/>
      <c r="C16" s="104"/>
      <c r="I16" s="205"/>
      <c r="J16" s="212"/>
      <c r="K16" s="212"/>
      <c r="L16" s="212"/>
      <c r="M16" s="212"/>
      <c r="N16" s="212"/>
      <c r="O16" s="212"/>
      <c r="P16" s="212"/>
      <c r="Q16" s="212"/>
      <c r="R16" s="212"/>
    </row>
    <row r="17" spans="2:18" x14ac:dyDescent="0.25">
      <c r="B17" s="114"/>
      <c r="C17" s="104"/>
      <c r="I17" s="205"/>
      <c r="J17" s="212"/>
      <c r="K17" s="212"/>
      <c r="L17" s="212"/>
      <c r="M17" s="212"/>
      <c r="N17" s="212"/>
      <c r="O17" s="212"/>
      <c r="P17" s="212"/>
      <c r="Q17" s="212"/>
      <c r="R17" s="212"/>
    </row>
    <row r="18" spans="2:18" x14ac:dyDescent="0.25">
      <c r="B18" s="114"/>
      <c r="C18" s="104"/>
      <c r="I18" s="205"/>
      <c r="J18" s="212"/>
      <c r="K18" s="212"/>
      <c r="L18" s="212"/>
      <c r="M18" s="212"/>
      <c r="N18" s="212"/>
      <c r="O18" s="212"/>
      <c r="P18" s="212"/>
      <c r="Q18" s="212"/>
      <c r="R18" s="212"/>
    </row>
    <row r="19" spans="2:18" x14ac:dyDescent="0.25">
      <c r="B19" s="114"/>
      <c r="C19" s="104"/>
      <c r="I19" s="205"/>
      <c r="J19" s="212"/>
      <c r="K19" s="212"/>
      <c r="L19" s="212"/>
      <c r="M19" s="212"/>
      <c r="N19" s="212"/>
      <c r="O19" s="212"/>
      <c r="P19" s="212"/>
      <c r="Q19" s="212"/>
      <c r="R19" s="212"/>
    </row>
    <row r="20" spans="2:18" x14ac:dyDescent="0.25">
      <c r="B20" s="104"/>
      <c r="C20" s="104"/>
      <c r="I20" s="205"/>
      <c r="J20" s="212"/>
      <c r="K20" s="212"/>
      <c r="L20" s="212"/>
      <c r="M20" s="212"/>
      <c r="N20" s="212"/>
      <c r="O20" s="212"/>
      <c r="P20" s="212"/>
      <c r="Q20" s="212"/>
      <c r="R20" s="212"/>
    </row>
    <row r="21" spans="2:18" x14ac:dyDescent="0.25">
      <c r="B21" s="114"/>
      <c r="C21" s="104"/>
      <c r="I21" s="205"/>
      <c r="J21" s="212"/>
      <c r="K21" s="212"/>
      <c r="L21" s="212"/>
      <c r="M21" s="212"/>
      <c r="N21" s="212"/>
      <c r="O21" s="212"/>
      <c r="P21" s="212"/>
      <c r="Q21" s="212"/>
      <c r="R21" s="212"/>
    </row>
    <row r="22" spans="2:18" x14ac:dyDescent="0.25">
      <c r="B22" s="114"/>
      <c r="C22" s="104"/>
      <c r="I22" s="205"/>
      <c r="J22" s="212"/>
      <c r="K22" s="212"/>
      <c r="L22" s="212"/>
      <c r="M22" s="212"/>
      <c r="N22" s="212"/>
      <c r="O22" s="212"/>
      <c r="P22" s="212"/>
      <c r="Q22" s="212"/>
      <c r="R22" s="212"/>
    </row>
    <row r="23" spans="2:18" x14ac:dyDescent="0.25">
      <c r="B23" s="114"/>
      <c r="C23" s="104"/>
      <c r="I23" s="205"/>
      <c r="J23" s="212"/>
      <c r="K23" s="212"/>
      <c r="L23" s="212"/>
      <c r="M23" s="212"/>
      <c r="N23" s="212"/>
      <c r="O23" s="212"/>
      <c r="P23" s="212"/>
      <c r="Q23" s="212"/>
      <c r="R23" s="212"/>
    </row>
    <row r="24" spans="2:18" x14ac:dyDescent="0.25">
      <c r="I24" s="205"/>
      <c r="J24" s="212"/>
      <c r="K24" s="212"/>
      <c r="L24" s="212"/>
      <c r="M24" s="212"/>
      <c r="N24" s="212"/>
      <c r="O24" s="212"/>
      <c r="P24" s="212"/>
      <c r="Q24" s="212"/>
      <c r="R24" s="212"/>
    </row>
    <row r="25" spans="2:18" x14ac:dyDescent="0.25">
      <c r="I25" s="205"/>
      <c r="J25" s="212"/>
      <c r="K25" s="212"/>
      <c r="L25" s="212"/>
      <c r="M25" s="212"/>
      <c r="N25" s="212"/>
      <c r="O25" s="212"/>
      <c r="P25" s="212"/>
      <c r="Q25" s="212"/>
      <c r="R25" s="212"/>
    </row>
    <row r="26" spans="2:18" x14ac:dyDescent="0.25">
      <c r="I26" s="205"/>
      <c r="J26" s="212"/>
      <c r="K26" s="212"/>
      <c r="L26" s="212"/>
      <c r="M26" s="212"/>
      <c r="N26" s="212"/>
      <c r="O26" s="212"/>
      <c r="P26" s="212"/>
      <c r="Q26" s="212"/>
      <c r="R26" s="212"/>
    </row>
    <row r="27" spans="2:18" x14ac:dyDescent="0.25">
      <c r="I27" s="205"/>
      <c r="J27" s="212"/>
      <c r="K27" s="212"/>
      <c r="L27" s="212"/>
      <c r="M27" s="212"/>
      <c r="N27" s="212"/>
      <c r="O27" s="212"/>
      <c r="P27" s="212"/>
      <c r="Q27" s="212"/>
      <c r="R27" s="212"/>
    </row>
    <row r="28" spans="2:18" x14ac:dyDescent="0.25">
      <c r="I28" s="205"/>
      <c r="J28" s="212"/>
      <c r="K28" s="212"/>
      <c r="L28" s="212"/>
      <c r="M28" s="212"/>
      <c r="N28" s="212"/>
      <c r="O28" s="212"/>
      <c r="P28" s="212"/>
      <c r="Q28" s="212"/>
      <c r="R28" s="212"/>
    </row>
    <row r="29" spans="2:18" x14ac:dyDescent="0.25">
      <c r="I29" s="205"/>
      <c r="J29" s="212"/>
      <c r="K29" s="212"/>
      <c r="L29" s="212"/>
      <c r="M29" s="212"/>
      <c r="N29" s="212"/>
      <c r="O29" s="212"/>
      <c r="P29" s="212"/>
      <c r="Q29" s="212"/>
      <c r="R29" s="212"/>
    </row>
    <row r="30" spans="2:18" x14ac:dyDescent="0.25">
      <c r="I30" s="205"/>
      <c r="J30" s="212"/>
      <c r="K30" s="212"/>
      <c r="L30" s="212"/>
      <c r="M30" s="212"/>
      <c r="N30" s="212"/>
      <c r="O30" s="212"/>
      <c r="P30" s="212"/>
      <c r="Q30" s="212"/>
      <c r="R30" s="212"/>
    </row>
    <row r="31" spans="2:18" x14ac:dyDescent="0.25">
      <c r="I31" s="205"/>
      <c r="J31" s="208"/>
      <c r="K31" s="208"/>
      <c r="L31" s="208"/>
      <c r="M31" s="208"/>
      <c r="N31" s="208"/>
      <c r="O31" s="208"/>
      <c r="P31" s="208"/>
      <c r="Q31" s="208"/>
      <c r="R31" s="208"/>
    </row>
    <row r="32" spans="2:18" x14ac:dyDescent="0.25">
      <c r="I32" s="205"/>
    </row>
  </sheetData>
  <sheetProtection algorithmName="SHA-512" hashValue="xuuXdRlneb5YMiOUhU9qznuB8wItzzN/tnk3HAJ0izKF7+CyFiMpClZiDEzNTyNF3EABnDsMi7p1Oo3L70rzMQ==" saltValue="BTiaHfaihQIloN/AYxNUIA==" spinCount="100000" sheet="1" objects="1" scenarios="1" selectLockedCells="1" selectUnlockedCells="1"/>
  <pageMargins left="0.7" right="0.7" top="0.78740157499999996" bottom="0.78740157499999996" header="0.3" footer="0.3"/>
  <ignoredErrors>
    <ignoredError sqref="J8 J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4</vt:i4>
      </vt:variant>
    </vt:vector>
  </HeadingPairs>
  <TitlesOfParts>
    <vt:vector size="8" baseType="lpstr">
      <vt:lpstr>Venstresvingefelt</vt:lpstr>
      <vt:lpstr>Beregning retardasjonsstrekning</vt:lpstr>
      <vt:lpstr>Modell kømagasin</vt:lpstr>
      <vt:lpstr>Tabeller</vt:lpstr>
      <vt:lpstr>GyldigeFG</vt:lpstr>
      <vt:lpstr>GyldigeS</vt:lpstr>
      <vt:lpstr>'Beregning retardasjonsstrekning'!Utskriftsområde</vt:lpstr>
      <vt:lpstr>Venstresvingefelt!Utskriftsområde</vt:lpstr>
    </vt:vector>
  </TitlesOfParts>
  <Company>NTNU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arvida</dc:creator>
  <cp:lastModifiedBy>Giæver Terje</cp:lastModifiedBy>
  <cp:lastPrinted>2012-04-12T09:46:41Z</cp:lastPrinted>
  <dcterms:created xsi:type="dcterms:W3CDTF">2008-01-14T14:10:35Z</dcterms:created>
  <dcterms:modified xsi:type="dcterms:W3CDTF">2017-11-09T13:41:25Z</dcterms:modified>
</cp:coreProperties>
</file>