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90" yWindow="-105" windowWidth="16455" windowHeight="12870"/>
  </bookViews>
  <sheets>
    <sheet name="Avkjøringsrampe" sheetId="1" r:id="rId1"/>
    <sheet name="Påkjøringsrampe" sheetId="4" r:id="rId2"/>
    <sheet name="AR-formler" sheetId="2" state="hidden" r:id="rId3"/>
    <sheet name="PR-formler" sheetId="5" state="hidden" r:id="rId4"/>
    <sheet name="Versjoner" sheetId="6" state="hidden" r:id="rId5"/>
  </sheets>
  <externalReferences>
    <externalReference r:id="rId6"/>
  </externalReferences>
  <definedNames>
    <definedName name="GyldigeFG">[1]Tabeller!$B$4:$B$10</definedName>
    <definedName name="_xlnm.Print_Area" localSheetId="2">'AR-formler'!$B$2:$L$24</definedName>
    <definedName name="_xlnm.Print_Area" localSheetId="0">Avkjøringsrampe!$A$1:$I$82</definedName>
    <definedName name="_xlnm.Print_Area" localSheetId="3">'PR-formler'!$B$2:$L$24</definedName>
    <definedName name="_xlnm.Print_Area" localSheetId="1">Påkjøringsrampe!$A$1:$I$82</definedName>
  </definedNames>
  <calcPr calcId="145621"/>
  <customWorkbookViews>
    <customWorkbookView name="eSPEN" guid="{EDBC3D34-AE76-4315-8D9E-9D233B1D13BE}" includePrintSettings="0" includeHiddenRowCol="0" maximized="1" windowWidth="1848" windowHeight="883" activeSheetId="1"/>
  </customWorkbookViews>
</workbook>
</file>

<file path=xl/calcChain.xml><?xml version="1.0" encoding="utf-8"?>
<calcChain xmlns="http://schemas.openxmlformats.org/spreadsheetml/2006/main">
  <c r="I3" i="1" l="1"/>
  <c r="I3" i="4"/>
  <c r="P34" i="5" l="1"/>
  <c r="P33" i="5"/>
  <c r="P32" i="5"/>
  <c r="T20" i="5" s="1"/>
  <c r="D16" i="4"/>
  <c r="P26" i="5"/>
  <c r="T25" i="5"/>
  <c r="P25" i="5"/>
  <c r="T24" i="5"/>
  <c r="P24" i="5"/>
  <c r="P23" i="5"/>
  <c r="T22" i="5"/>
  <c r="P22" i="5"/>
  <c r="T21" i="5"/>
  <c r="P21" i="5"/>
  <c r="P20" i="5"/>
  <c r="Q27" i="5" s="1"/>
  <c r="F5" i="4" s="1"/>
  <c r="P19" i="5"/>
  <c r="P18" i="5"/>
  <c r="F8" i="5"/>
  <c r="Q26" i="5"/>
  <c r="P35" i="5" l="1"/>
  <c r="R20" i="5" s="1"/>
  <c r="S20" i="5" s="1"/>
  <c r="G22" i="4"/>
  <c r="Q18" i="5"/>
  <c r="F10" i="4"/>
  <c r="R26" i="5"/>
  <c r="S26" i="5" s="1"/>
  <c r="R19" i="5"/>
  <c r="P36" i="5"/>
  <c r="D18" i="4" s="1"/>
  <c r="U20" i="5"/>
  <c r="A14" i="4" s="1"/>
  <c r="R23" i="5" l="1"/>
  <c r="D17" i="4"/>
  <c r="R18" i="5"/>
  <c r="S18" i="5" s="1"/>
  <c r="T18" i="5"/>
  <c r="T26" i="5"/>
  <c r="T19" i="5"/>
  <c r="T23" i="5"/>
  <c r="G21" i="4"/>
  <c r="R27" i="5"/>
  <c r="S23" i="5"/>
  <c r="S19" i="5"/>
  <c r="T27" i="5" l="1"/>
  <c r="S27" i="5"/>
  <c r="G25" i="4"/>
  <c r="P32" i="2"/>
  <c r="P33" i="2"/>
  <c r="P34" i="2"/>
  <c r="P35" i="2" l="1"/>
  <c r="P36" i="2"/>
  <c r="U20" i="2"/>
  <c r="T20" i="2"/>
  <c r="P18" i="2"/>
  <c r="Q18" i="2"/>
  <c r="P19" i="2"/>
  <c r="P20" i="2"/>
  <c r="P21" i="2"/>
  <c r="T21" i="2"/>
  <c r="P22" i="2"/>
  <c r="T22" i="2"/>
  <c r="P23" i="2"/>
  <c r="P24" i="2"/>
  <c r="T24" i="2"/>
  <c r="P25" i="2"/>
  <c r="T25" i="2"/>
  <c r="P26" i="2"/>
  <c r="Q26" i="2"/>
  <c r="Q27" i="2" l="1"/>
  <c r="F5" i="1" s="1"/>
  <c r="A9" i="1"/>
  <c r="D18" i="1"/>
  <c r="D17" i="1"/>
  <c r="D16" i="1"/>
  <c r="T19" i="2" l="1"/>
  <c r="T23" i="2"/>
  <c r="T18" i="2"/>
  <c r="T26" i="2"/>
  <c r="R26" i="2"/>
  <c r="R18" i="2"/>
  <c r="S18" i="2" s="1"/>
  <c r="R19" i="2"/>
  <c r="R20" i="2"/>
  <c r="S20" i="2" s="1"/>
  <c r="R23" i="2"/>
  <c r="G22" i="1"/>
  <c r="F11" i="1"/>
  <c r="T27" i="2" l="1"/>
  <c r="C14" i="1" s="1"/>
  <c r="S26" i="2"/>
  <c r="S23" i="2"/>
  <c r="S19" i="2"/>
  <c r="R27" i="2"/>
  <c r="F8" i="2"/>
  <c r="S27" i="2" l="1"/>
  <c r="G21" i="1"/>
  <c r="G25" i="1" l="1"/>
</calcChain>
</file>

<file path=xl/sharedStrings.xml><?xml version="1.0" encoding="utf-8"?>
<sst xmlns="http://schemas.openxmlformats.org/spreadsheetml/2006/main" count="317" uniqueCount="150">
  <si>
    <t>V</t>
  </si>
  <si>
    <t>b</t>
  </si>
  <si>
    <t>=</t>
  </si>
  <si>
    <t>Hjulavstand</t>
  </si>
  <si>
    <t>[m/s]</t>
  </si>
  <si>
    <t>[km/t]</t>
  </si>
  <si>
    <t>[m]</t>
  </si>
  <si>
    <t xml:space="preserve">Hastighet: </t>
  </si>
  <si>
    <t>Minste horisontalkurveradius</t>
  </si>
  <si>
    <t>Kjørefart [km/t]</t>
  </si>
  <si>
    <t>S.faktor</t>
  </si>
  <si>
    <t>Sidefriksjonskoeffisient</t>
  </si>
  <si>
    <t>[m/m]</t>
  </si>
  <si>
    <t>Relativ vertikalfart</t>
  </si>
  <si>
    <r>
      <t xml:space="preserve"> , der e</t>
    </r>
    <r>
      <rPr>
        <vertAlign val="subscript"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er endring i overhøyden mellom rampen og hovedvegen</t>
    </r>
  </si>
  <si>
    <t>Beregningsmetodikk:</t>
  </si>
  <si>
    <t>Beregning av lengden på overhøydeoppbyggingen:</t>
  </si>
  <si>
    <r>
      <t>b og v</t>
    </r>
    <r>
      <rPr>
        <vertAlign val="subscript"/>
        <sz val="11"/>
        <color theme="1"/>
        <rFont val="Calibri"/>
        <family val="2"/>
        <scheme val="minor"/>
      </rPr>
      <t>vf</t>
    </r>
    <r>
      <rPr>
        <sz val="11"/>
        <color theme="1"/>
        <rFont val="Calibri"/>
        <family val="2"/>
        <scheme val="minor"/>
      </rPr>
      <t xml:space="preserve"> predefineres og vi får:</t>
    </r>
  </si>
  <si>
    <t>Beregning av klotoideparameterene:</t>
  </si>
  <si>
    <t>Minste horisontalkurveradius:</t>
  </si>
  <si>
    <r>
      <t>R</t>
    </r>
    <r>
      <rPr>
        <b/>
        <vertAlign val="subscript"/>
        <sz val="16"/>
        <color theme="1"/>
        <rFont val="Calibri"/>
        <family val="2"/>
        <scheme val="minor"/>
      </rPr>
      <t>min</t>
    </r>
  </si>
  <si>
    <t>m</t>
  </si>
  <si>
    <r>
      <t>f</t>
    </r>
    <r>
      <rPr>
        <b/>
        <vertAlign val="subscript"/>
        <sz val="14"/>
        <color theme="1"/>
        <rFont val="Calibri"/>
        <family val="2"/>
        <scheme val="minor"/>
      </rPr>
      <t>k</t>
    </r>
  </si>
  <si>
    <r>
      <t>e</t>
    </r>
    <r>
      <rPr>
        <b/>
        <vertAlign val="subscript"/>
        <sz val="14"/>
        <color theme="1"/>
        <rFont val="Calibri"/>
        <family val="2"/>
        <scheme val="minor"/>
      </rPr>
      <t>maks</t>
    </r>
  </si>
  <si>
    <t>Dim. sidefriksjon:</t>
  </si>
  <si>
    <t>Overhøyde:</t>
  </si>
  <si>
    <t>Radius rampe</t>
  </si>
  <si>
    <t>Dimensjonerende hastighet på rampe</t>
  </si>
  <si>
    <t>Radius på rampe</t>
  </si>
  <si>
    <t>Minste klotoideparameter</t>
  </si>
  <si>
    <t xml:space="preserve">P1: </t>
  </si>
  <si>
    <t xml:space="preserve">P2: </t>
  </si>
  <si>
    <r>
      <t>v</t>
    </r>
    <r>
      <rPr>
        <b/>
        <vertAlign val="subscript"/>
        <sz val="10"/>
        <color theme="1"/>
        <rFont val="Arial"/>
        <family val="2"/>
      </rPr>
      <t>vf</t>
    </r>
  </si>
  <si>
    <t>Faste verdier (grunnparametere, se håndbok 265)</t>
  </si>
  <si>
    <t>Sidefr.koeff</t>
  </si>
  <si>
    <t>Overhøyde</t>
  </si>
  <si>
    <t>Hastighet</t>
  </si>
  <si>
    <t>Venstrekurve</t>
  </si>
  <si>
    <t>Høyrekurve</t>
  </si>
  <si>
    <t>Tabell for kurvevalg</t>
  </si>
  <si>
    <t>Rettlinje</t>
  </si>
  <si>
    <t>Minste lengde av overhøydeoppbygging</t>
  </si>
  <si>
    <t>Horisontalkurvatur</t>
  </si>
  <si>
    <t>L</t>
  </si>
  <si>
    <t>A</t>
  </si>
  <si>
    <t>Overhøyde på rampe</t>
  </si>
  <si>
    <t>Klotoideparameter</t>
  </si>
  <si>
    <t>Parametere som inngår i beregningen:</t>
  </si>
  <si>
    <t>Formler som inngår i beregningen:</t>
  </si>
  <si>
    <t>Lengde av overhøydeoppbygging:</t>
  </si>
  <si>
    <t>Klotoideparameter:</t>
  </si>
  <si>
    <t>Klotoideparameter mellom</t>
  </si>
  <si>
    <t>Hastighet på rampe er gitt av radius, se tabell i håndbok 263</t>
  </si>
  <si>
    <t>Primærveg-rampe</t>
  </si>
  <si>
    <t>Gyldig</t>
  </si>
  <si>
    <t>Ikke gyldig kurvekombinasjon</t>
  </si>
  <si>
    <t>Gyldighet</t>
  </si>
  <si>
    <t>Gjeldende kombinasjon</t>
  </si>
  <si>
    <t>Beregningsmatrise, ikke rør!</t>
  </si>
  <si>
    <t>Overhøydefeil</t>
  </si>
  <si>
    <r>
      <t>L</t>
    </r>
    <r>
      <rPr>
        <vertAlign val="subscript"/>
        <sz val="10"/>
        <color theme="1"/>
        <rFont val="Arial"/>
        <family val="2"/>
      </rPr>
      <t>0</t>
    </r>
  </si>
  <si>
    <t>Overhøyde ved rampetilslutning</t>
  </si>
  <si>
    <t>OF.2</t>
  </si>
  <si>
    <r>
      <t>e</t>
    </r>
    <r>
      <rPr>
        <vertAlign val="subscript"/>
        <sz val="11"/>
        <color theme="1"/>
        <rFont val="Calibri"/>
        <family val="2"/>
        <scheme val="minor"/>
      </rPr>
      <t>d</t>
    </r>
  </si>
  <si>
    <t>Lengde av overhøydeutjevning</t>
  </si>
  <si>
    <t>Lengde overhøydeoppbygging i klotoide</t>
  </si>
  <si>
    <r>
      <t>L</t>
    </r>
    <r>
      <rPr>
        <vertAlign val="subscript"/>
        <sz val="10"/>
        <color theme="1"/>
        <rFont val="Arial"/>
        <family val="2"/>
      </rPr>
      <t>x</t>
    </r>
  </si>
  <si>
    <t>L1</t>
  </si>
  <si>
    <r>
      <t>R</t>
    </r>
    <r>
      <rPr>
        <vertAlign val="subscript"/>
        <sz val="10"/>
        <color theme="1"/>
        <rFont val="Arial"/>
        <family val="2"/>
      </rPr>
      <t>1</t>
    </r>
  </si>
  <si>
    <r>
      <t>e</t>
    </r>
    <r>
      <rPr>
        <vertAlign val="subscript"/>
        <sz val="10"/>
        <color theme="1"/>
        <rFont val="Arial"/>
        <family val="2"/>
      </rPr>
      <t>1</t>
    </r>
  </si>
  <si>
    <r>
      <t>R</t>
    </r>
    <r>
      <rPr>
        <vertAlign val="subscript"/>
        <sz val="10"/>
        <color theme="1"/>
        <rFont val="Arial"/>
        <family val="2"/>
      </rPr>
      <t>2</t>
    </r>
  </si>
  <si>
    <r>
      <t>e</t>
    </r>
    <r>
      <rPr>
        <vertAlign val="subscript"/>
        <sz val="10"/>
        <color theme="1"/>
        <rFont val="Arial"/>
        <family val="2"/>
      </rPr>
      <t>2</t>
    </r>
  </si>
  <si>
    <r>
      <t>P</t>
    </r>
    <r>
      <rPr>
        <vertAlign val="subscript"/>
        <sz val="10"/>
        <color theme="1"/>
        <rFont val="Arial"/>
        <family val="2"/>
      </rPr>
      <t>x</t>
    </r>
  </si>
  <si>
    <t>Endepunkt overhøydeutjevning</t>
  </si>
  <si>
    <t>Kurvepunkt klotoide - rampe</t>
  </si>
  <si>
    <r>
      <t>e</t>
    </r>
    <r>
      <rPr>
        <vertAlign val="subscript"/>
        <sz val="10"/>
        <color theme="1"/>
        <rFont val="Arial"/>
        <family val="2"/>
      </rPr>
      <t>x</t>
    </r>
  </si>
  <si>
    <t>Overhøyde etter overhøydeutjevning</t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</si>
  <si>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</si>
  <si>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t>e</t>
    </r>
    <r>
      <rPr>
        <vertAlign val="subscript"/>
        <sz val="11"/>
        <color theme="1"/>
        <rFont val="Calibri"/>
        <family val="2"/>
        <scheme val="minor"/>
      </rPr>
      <t>1</t>
    </r>
  </si>
  <si>
    <r>
      <t>e</t>
    </r>
    <r>
      <rPr>
        <vertAlign val="subscript"/>
        <sz val="11"/>
        <color theme="1"/>
        <rFont val="Calibri"/>
        <family val="2"/>
        <scheme val="minor"/>
      </rPr>
      <t>x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</si>
  <si>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</si>
  <si>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</si>
  <si>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utj.</t>
    </r>
  </si>
  <si>
    <t>Overhøyde på rampe (husk fortegn)</t>
  </si>
  <si>
    <t>Radius på fartsendringsstrekning</t>
  </si>
  <si>
    <t>Overhøyde på fartsendringsstrekning</t>
  </si>
  <si>
    <t>to sirkelkurver:</t>
  </si>
  <si>
    <t>(radier i formelen angis med fortegn - positiv verdi for</t>
  </si>
  <si>
    <t>høyrekurver, negativ verdi for venstrekurver)</t>
  </si>
  <si>
    <t>[%]</t>
  </si>
  <si>
    <t>% til desimal, overhøyde fartsendringsfelt</t>
  </si>
  <si>
    <t>% til desimal, overhøyde ved rampetilslutning</t>
  </si>
  <si>
    <t>% til desimal, overhøyde rampe</t>
  </si>
  <si>
    <r>
      <t>Overhøydeutjevning (fra e</t>
    </r>
    <r>
      <rPr>
        <i/>
        <vertAlign val="sub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til e</t>
    </r>
    <r>
      <rPr>
        <i/>
        <vertAlign val="subscript"/>
        <sz val="10"/>
        <color theme="1"/>
        <rFont val="Arial"/>
        <family val="2"/>
      </rPr>
      <t>x</t>
    </r>
    <r>
      <rPr>
        <i/>
        <sz val="10"/>
        <color theme="1"/>
        <rFont val="Arial"/>
        <family val="2"/>
      </rPr>
      <t>)</t>
    </r>
  </si>
  <si>
    <t>Lengde av fartsendringsstrekningen</t>
  </si>
  <si>
    <t>V1</t>
  </si>
  <si>
    <r>
      <t>P</t>
    </r>
    <r>
      <rPr>
        <vertAlign val="subscript"/>
        <sz val="10"/>
        <color theme="1"/>
        <rFont val="Arial"/>
        <family val="2"/>
      </rPr>
      <t>v</t>
    </r>
  </si>
  <si>
    <t>Kurvepunkt mellom klotoider (ved vendeklotoide)</t>
  </si>
  <si>
    <t>Endepunkt overhøydeoppbygging</t>
  </si>
  <si>
    <t>AVKJØRINGSRAMPE</t>
  </si>
  <si>
    <t>Radius fartsendringsfelt</t>
  </si>
  <si>
    <t>Overhøyde primærveg og fartsendringsfelt</t>
  </si>
  <si>
    <t>Linjeføring - rampe</t>
  </si>
  <si>
    <t>Linjeføring - primærveg og fartsendringsfelt</t>
  </si>
  <si>
    <t>Kurveradius på rampe (for rettlinje ignoreres denne verdien)</t>
  </si>
  <si>
    <t>Overhøyde i fartsendringsfelt</t>
  </si>
  <si>
    <r>
      <t>Hastighet på rampe (i punkt P</t>
    </r>
    <r>
      <rPr>
        <vertAlign val="subscript"/>
        <sz val="11"/>
        <color rgb="FF000000"/>
        <rFont val="Calibri"/>
        <family val="2"/>
        <scheme val="minor"/>
      </rPr>
      <t>x</t>
    </r>
    <r>
      <rPr>
        <sz val="11"/>
        <color rgb="FF000000"/>
        <rFont val="Calibri"/>
        <family val="2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</si>
  <si>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</si>
  <si>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t>Beregning av overhøydeoppbyggingens lengde og klotoideparameter for avkjøringsrampe</t>
  </si>
  <si>
    <t>Resulterende overhøydeoppbygging</t>
  </si>
  <si>
    <t>Resulterende overhøydeutjevning</t>
  </si>
  <si>
    <t>Overhøydeoppbygging (fratrukket eventuell overhøydeutjevning)</t>
  </si>
  <si>
    <t>Overhøyde ved rampetilslutning (etter eventuell overhøydeutjevning)</t>
  </si>
  <si>
    <t>PÅKJØRINGSRAMPE</t>
  </si>
  <si>
    <t xml:space="preserve">    Figur 2: Eksempel på situasjon med venstrekurve - høyrekurve, vendeklotoide og med overhøydeutjevning i fartsendringsfeltet</t>
  </si>
  <si>
    <t xml:space="preserve">    Figur 2: Eksempel på situasjon med høyrekurve - venstrekurve, vendeklotoide og med overhøydeutjevning i fartsendringsfeltet</t>
  </si>
  <si>
    <t>Kurveradius, primærveg (for rettlinje ignoreres denne verdien)</t>
  </si>
  <si>
    <t>Overhøyde ved rampetilslutning (før eventuell overhøydeutjevning)</t>
  </si>
  <si>
    <t>Radius på fartsendringsfelt</t>
  </si>
  <si>
    <t>Lengde av fartsendringsfelt</t>
  </si>
  <si>
    <t>Overhøyde på fartsendringsfelt</t>
  </si>
  <si>
    <t>Overhøyde før overhøydeutjevning</t>
  </si>
  <si>
    <r>
      <t xml:space="preserve">   Figur 1: Eksempel på situasjon med høyrekurve - rettlinje, enkel klotoide og uten overhøydeujevning (punkt P1 = punkt P</t>
    </r>
    <r>
      <rPr>
        <b/>
        <vertAlign val="subscript"/>
        <sz val="11"/>
        <color rgb="FF000000"/>
        <rFont val="Calibri"/>
        <family val="2"/>
        <scheme val="minor"/>
      </rPr>
      <t>x</t>
    </r>
    <r>
      <rPr>
        <b/>
        <sz val="11"/>
        <color rgb="FF000000"/>
        <rFont val="Calibri"/>
        <family val="2"/>
        <scheme val="minor"/>
      </rPr>
      <t>)</t>
    </r>
  </si>
  <si>
    <r>
      <t xml:space="preserve">   Figur 1: Eksempel på situasjon med rettlinje - høyrekurve, enkel klotoide og uten overhøydeujevning (punkt P1 = punkt P</t>
    </r>
    <r>
      <rPr>
        <b/>
        <vertAlign val="subscript"/>
        <sz val="11"/>
        <color rgb="FF000000"/>
        <rFont val="Calibri"/>
        <family val="2"/>
        <scheme val="minor"/>
      </rPr>
      <t>x</t>
    </r>
    <r>
      <rPr>
        <b/>
        <sz val="11"/>
        <color rgb="FF000000"/>
        <rFont val="Calibri"/>
        <family val="2"/>
        <scheme val="minor"/>
      </rPr>
      <t>)</t>
    </r>
  </si>
  <si>
    <t>Beregning av overhøydeoppbyggingens lengde og klotoideparameter for påkjøringsrampe</t>
  </si>
  <si>
    <t>Horisontalkurve fartsendringsfelt</t>
  </si>
  <si>
    <t>Linjeføring - fartsendringsfelt</t>
  </si>
  <si>
    <r>
      <t>L</t>
    </r>
    <r>
      <rPr>
        <b/>
        <vertAlign val="subscript"/>
        <sz val="11.5"/>
        <color theme="1"/>
        <rFont val="Arial"/>
        <family val="2"/>
      </rPr>
      <t>0,min</t>
    </r>
  </si>
  <si>
    <r>
      <t>A</t>
    </r>
    <r>
      <rPr>
        <b/>
        <vertAlign val="subscript"/>
        <sz val="11.5"/>
        <color theme="1"/>
        <rFont val="Arial"/>
        <family val="2"/>
      </rPr>
      <t>min</t>
    </r>
  </si>
  <si>
    <t>Minste lengde av overhøydeutjevning</t>
  </si>
  <si>
    <t>Overhøydeoppbyggingens lengde</t>
  </si>
  <si>
    <r>
      <t>L</t>
    </r>
    <r>
      <rPr>
        <b/>
        <vertAlign val="subscript"/>
        <sz val="11.5"/>
        <color theme="1"/>
        <rFont val="Arial"/>
        <family val="2"/>
      </rPr>
      <t>x,min</t>
    </r>
  </si>
  <si>
    <t>Versjonshistorikk</t>
  </si>
  <si>
    <t>Gjeldende versjon</t>
  </si>
  <si>
    <t>Gjeldende dato</t>
  </si>
  <si>
    <t>Versjon</t>
  </si>
  <si>
    <t>Dato</t>
  </si>
  <si>
    <t>Endring</t>
  </si>
  <si>
    <t>Utført av</t>
  </si>
  <si>
    <t>Espen Thøring</t>
  </si>
  <si>
    <t>Klargjort for publisering</t>
  </si>
  <si>
    <t>2012-03-22</t>
  </si>
  <si>
    <t>Første utgave</t>
  </si>
  <si>
    <t>Torstein Ryeng / Jan Erik Engstrøm</t>
  </si>
  <si>
    <t>2012-04-16</t>
  </si>
  <si>
    <t>Videreutviklet utgave</t>
  </si>
  <si>
    <t>Espen Thøring / Torstein Ryeng</t>
  </si>
  <si>
    <t>1.0</t>
  </si>
  <si>
    <t>2012-12-12</t>
  </si>
  <si>
    <r>
      <t>L</t>
    </r>
    <r>
      <rPr>
        <b/>
        <vertAlign val="subscript"/>
        <sz val="11.5"/>
        <color theme="1"/>
        <rFont val="Arial"/>
        <family val="2"/>
      </rPr>
      <t>o,min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</si>
</sst>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0000FF"/>
      <name val="Arial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.5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vertAlign val="subscript"/>
      <sz val="11.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rgb="FF000000"/>
      <name val="Arial"/>
      <family val="2"/>
    </font>
    <font>
      <i/>
      <vertAlign val="subscript"/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9" fillId="3" borderId="20" applyNumberFormat="0" applyAlignment="0" applyProtection="0"/>
    <xf numFmtId="0" fontId="37" fillId="3" borderId="34" applyNumberFormat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</cellStyleXfs>
  <cellXfs count="175">
    <xf numFmtId="0" fontId="0" fillId="0" borderId="0" xfId="0"/>
    <xf numFmtId="166" fontId="9" fillId="3" borderId="20" xfId="1" applyNumberFormat="1" applyAlignment="1" applyProtection="1">
      <alignment horizontal="center"/>
    </xf>
    <xf numFmtId="164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0" fillId="6" borderId="0" xfId="0" applyFill="1" applyBorder="1" applyAlignment="1">
      <alignment vertical="center"/>
    </xf>
    <xf numFmtId="0" fontId="23" fillId="6" borderId="0" xfId="0" applyFont="1" applyFill="1" applyBorder="1" applyAlignment="1" applyProtection="1">
      <alignment vertical="center"/>
    </xf>
    <xf numFmtId="1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Border="1" applyAlignment="1" applyProtection="1">
      <alignment vertical="center"/>
    </xf>
    <xf numFmtId="164" fontId="34" fillId="6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9" fillId="5" borderId="30" xfId="0" applyFont="1" applyFill="1" applyBorder="1" applyAlignment="1" applyProtection="1">
      <alignment vertical="center"/>
    </xf>
    <xf numFmtId="0" fontId="19" fillId="5" borderId="29" xfId="0" applyFont="1" applyFill="1" applyBorder="1" applyAlignment="1" applyProtection="1">
      <alignment vertical="center"/>
    </xf>
    <xf numFmtId="164" fontId="19" fillId="5" borderId="29" xfId="0" applyNumberFormat="1" applyFont="1" applyFill="1" applyBorder="1" applyAlignment="1" applyProtection="1">
      <alignment horizontal="center" vertical="center"/>
    </xf>
    <xf numFmtId="1" fontId="20" fillId="5" borderId="29" xfId="0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left" vertical="center"/>
    </xf>
    <xf numFmtId="164" fontId="20" fillId="5" borderId="29" xfId="0" applyNumberFormat="1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vertical="center"/>
    </xf>
    <xf numFmtId="0" fontId="19" fillId="5" borderId="27" xfId="0" applyFont="1" applyFill="1" applyBorder="1" applyAlignment="1" applyProtection="1">
      <alignment vertical="center"/>
    </xf>
    <xf numFmtId="164" fontId="19" fillId="5" borderId="27" xfId="0" applyNumberFormat="1" applyFont="1" applyFill="1" applyBorder="1" applyAlignment="1" applyProtection="1">
      <alignment horizontal="center" vertical="center"/>
    </xf>
    <xf numFmtId="1" fontId="20" fillId="5" borderId="27" xfId="0" applyNumberFormat="1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left" vertical="center"/>
    </xf>
    <xf numFmtId="0" fontId="21" fillId="6" borderId="25" xfId="0" applyFont="1" applyFill="1" applyBorder="1" applyAlignment="1" applyProtection="1">
      <alignment vertical="center"/>
    </xf>
    <xf numFmtId="0" fontId="21" fillId="6" borderId="26" xfId="0" applyFont="1" applyFill="1" applyBorder="1" applyAlignment="1" applyProtection="1">
      <alignment vertical="center"/>
    </xf>
    <xf numFmtId="0" fontId="21" fillId="6" borderId="22" xfId="0" applyFont="1" applyFill="1" applyBorder="1" applyAlignment="1" applyProtection="1">
      <alignment vertical="center"/>
    </xf>
    <xf numFmtId="1" fontId="41" fillId="3" borderId="34" xfId="2" applyNumberFormat="1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15" fillId="0" borderId="2" xfId="0" applyFont="1" applyBorder="1" applyProtection="1"/>
    <xf numFmtId="0" fontId="15" fillId="0" borderId="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5" fillId="0" borderId="3" xfId="0" quotePrefix="1" applyFont="1" applyBorder="1" applyAlignment="1" applyProtection="1">
      <alignment horizontal="center"/>
    </xf>
    <xf numFmtId="0" fontId="16" fillId="2" borderId="3" xfId="0" applyFont="1" applyFill="1" applyBorder="1" applyProtection="1"/>
    <xf numFmtId="0" fontId="15" fillId="0" borderId="4" xfId="0" applyFont="1" applyBorder="1" applyProtection="1"/>
    <xf numFmtId="0" fontId="15" fillId="0" borderId="5" xfId="0" applyFont="1" applyBorder="1" applyProtection="1"/>
    <xf numFmtId="0" fontId="15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5" fillId="0" borderId="1" xfId="0" quotePrefix="1" applyFont="1" applyBorder="1" applyAlignment="1" applyProtection="1">
      <alignment horizontal="center"/>
    </xf>
    <xf numFmtId="0" fontId="16" fillId="2" borderId="1" xfId="0" applyFont="1" applyFill="1" applyBorder="1" applyProtection="1"/>
    <xf numFmtId="0" fontId="15" fillId="0" borderId="6" xfId="0" applyFont="1" applyBorder="1" applyProtection="1"/>
    <xf numFmtId="0" fontId="15" fillId="0" borderId="8" xfId="0" applyFont="1" applyBorder="1" applyProtection="1"/>
    <xf numFmtId="0" fontId="15" fillId="0" borderId="9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5" fillId="0" borderId="9" xfId="0" quotePrefix="1" applyFont="1" applyBorder="1" applyAlignment="1" applyProtection="1">
      <alignment horizontal="center"/>
    </xf>
    <xf numFmtId="0" fontId="16" fillId="2" borderId="20" xfId="1" applyFont="1" applyFill="1" applyProtection="1"/>
    <xf numFmtId="0" fontId="15" fillId="0" borderId="10" xfId="0" applyFont="1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7" xfId="0" quotePrefix="1" applyBorder="1" applyAlignment="1" applyProtection="1">
      <alignment horizontal="center"/>
    </xf>
    <xf numFmtId="0" fontId="0" fillId="0" borderId="7" xfId="0" quotePrefix="1" applyBorder="1" applyProtection="1"/>
    <xf numFmtId="0" fontId="13" fillId="2" borderId="11" xfId="0" applyFont="1" applyFill="1" applyBorder="1" applyProtection="1"/>
    <xf numFmtId="0" fontId="13" fillId="2" borderId="12" xfId="0" applyFont="1" applyFill="1" applyBorder="1" applyProtection="1"/>
    <xf numFmtId="0" fontId="13" fillId="2" borderId="12" xfId="0" quotePrefix="1" applyFont="1" applyFill="1" applyBorder="1" applyAlignment="1" applyProtection="1">
      <alignment horizontal="center"/>
    </xf>
    <xf numFmtId="1" fontId="13" fillId="2" borderId="12" xfId="0" applyNumberFormat="1" applyFont="1" applyFill="1" applyBorder="1" applyProtection="1"/>
    <xf numFmtId="0" fontId="13" fillId="2" borderId="13" xfId="0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" fontId="29" fillId="0" borderId="0" xfId="0" applyNumberFormat="1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Protection="1"/>
    <xf numFmtId="0" fontId="1" fillId="0" borderId="22" xfId="0" applyFont="1" applyBorder="1" applyProtection="1"/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Protection="1"/>
    <xf numFmtId="0" fontId="0" fillId="0" borderId="21" xfId="0" applyBorder="1" applyAlignment="1" applyProtection="1">
      <alignment horizontal="center"/>
    </xf>
    <xf numFmtId="0" fontId="4" fillId="4" borderId="14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0" fillId="0" borderId="0" xfId="0" applyBorder="1" applyAlignment="1" applyProtection="1">
      <alignment horizontal="left"/>
    </xf>
    <xf numFmtId="0" fontId="1" fillId="0" borderId="0" xfId="0" applyFont="1" applyBorder="1" applyProtection="1"/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4" fontId="0" fillId="0" borderId="0" xfId="0" applyNumberFormat="1" applyFill="1" applyBorder="1" applyProtection="1"/>
    <xf numFmtId="0" fontId="6" fillId="0" borderId="13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0" fillId="2" borderId="0" xfId="0" applyFill="1" applyBorder="1" applyProtection="1"/>
    <xf numFmtId="0" fontId="6" fillId="0" borderId="1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1" fillId="0" borderId="33" xfId="0" applyFont="1" applyFill="1" applyBorder="1" applyAlignment="1" applyProtection="1">
      <alignment horizontal="left"/>
    </xf>
    <xf numFmtId="0" fontId="1" fillId="0" borderId="32" xfId="0" applyFont="1" applyFill="1" applyBorder="1" applyProtection="1"/>
    <xf numFmtId="164" fontId="1" fillId="0" borderId="32" xfId="0" applyNumberFormat="1" applyFont="1" applyFill="1" applyBorder="1" applyProtection="1"/>
    <xf numFmtId="0" fontId="13" fillId="0" borderId="0" xfId="0" applyFont="1" applyProtection="1"/>
    <xf numFmtId="0" fontId="0" fillId="0" borderId="26" xfId="0" applyBorder="1" applyProtection="1"/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7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10" fillId="0" borderId="25" xfId="0" applyFont="1" applyBorder="1" applyAlignment="1" applyProtection="1">
      <alignment vertical="center"/>
    </xf>
    <xf numFmtId="0" fontId="0" fillId="0" borderId="21" xfId="0" applyBorder="1" applyProtection="1"/>
    <xf numFmtId="9" fontId="0" fillId="0" borderId="0" xfId="0" applyNumberFormat="1" applyAlignment="1" applyProtection="1">
      <alignment horizontal="center"/>
    </xf>
    <xf numFmtId="165" fontId="9" fillId="3" borderId="20" xfId="1" applyNumberFormat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17" fillId="0" borderId="22" xfId="0" applyFont="1" applyFill="1" applyBorder="1" applyProtection="1"/>
    <xf numFmtId="0" fontId="0" fillId="0" borderId="24" xfId="0" applyFill="1" applyBorder="1" applyProtection="1"/>
    <xf numFmtId="0" fontId="0" fillId="0" borderId="25" xfId="0" applyFill="1" applyBorder="1" applyProtection="1"/>
    <xf numFmtId="0" fontId="0" fillId="0" borderId="21" xfId="0" applyFill="1" applyBorder="1" applyProtection="1"/>
    <xf numFmtId="0" fontId="0" fillId="0" borderId="26" xfId="0" applyFill="1" applyBorder="1" applyProtection="1"/>
    <xf numFmtId="0" fontId="0" fillId="0" borderId="28" xfId="0" applyFill="1" applyBorder="1" applyProtection="1"/>
    <xf numFmtId="0" fontId="0" fillId="6" borderId="22" xfId="0" applyFill="1" applyBorder="1" applyAlignment="1" applyProtection="1">
      <alignment vertical="center"/>
    </xf>
    <xf numFmtId="0" fontId="0" fillId="6" borderId="23" xfId="0" applyFill="1" applyBorder="1" applyAlignment="1" applyProtection="1">
      <alignment vertical="center"/>
    </xf>
    <xf numFmtId="0" fontId="0" fillId="6" borderId="24" xfId="0" applyFill="1" applyBorder="1" applyAlignment="1" applyProtection="1">
      <alignment vertical="center"/>
    </xf>
    <xf numFmtId="0" fontId="38" fillId="6" borderId="25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6" borderId="21" xfId="0" applyFill="1" applyBorder="1" applyAlignment="1" applyProtection="1">
      <alignment vertical="center"/>
    </xf>
    <xf numFmtId="0" fontId="0" fillId="6" borderId="25" xfId="0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0" fillId="6" borderId="2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3" fillId="6" borderId="25" xfId="0" applyFont="1" applyFill="1" applyBorder="1" applyAlignment="1" applyProtection="1">
      <alignment vertical="center"/>
    </xf>
    <xf numFmtId="0" fontId="33" fillId="6" borderId="0" xfId="0" applyFont="1" applyFill="1" applyAlignment="1" applyProtection="1">
      <alignment vertical="center"/>
    </xf>
    <xf numFmtId="0" fontId="29" fillId="6" borderId="0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39" fillId="6" borderId="25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" fillId="6" borderId="25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horizontal="center" vertical="center"/>
    </xf>
    <xf numFmtId="0" fontId="22" fillId="5" borderId="29" xfId="0" applyFon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vertical="center"/>
    </xf>
    <xf numFmtId="0" fontId="42" fillId="0" borderId="25" xfId="0" applyFont="1" applyBorder="1" applyProtection="1"/>
    <xf numFmtId="0" fontId="1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0" fillId="6" borderId="27" xfId="0" applyFill="1" applyBorder="1" applyAlignment="1" applyProtection="1">
      <alignment vertical="center"/>
    </xf>
    <xf numFmtId="0" fontId="30" fillId="6" borderId="2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8" fillId="6" borderId="0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right" vertical="center"/>
    </xf>
    <xf numFmtId="0" fontId="5" fillId="4" borderId="23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horizontal="left" vertical="center"/>
    </xf>
    <xf numFmtId="0" fontId="4" fillId="4" borderId="27" xfId="0" applyFont="1" applyFill="1" applyBorder="1" applyAlignment="1" applyProtection="1">
      <alignment horizontal="right" vertical="center"/>
    </xf>
    <xf numFmtId="0" fontId="5" fillId="4" borderId="27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vertical="center"/>
    </xf>
    <xf numFmtId="0" fontId="28" fillId="6" borderId="0" xfId="0" applyFont="1" applyFill="1" applyBorder="1" applyAlignment="1" applyProtection="1">
      <alignment horizontal="left" vertical="center"/>
    </xf>
    <xf numFmtId="49" fontId="23" fillId="8" borderId="0" xfId="3" applyNumberFormat="1" applyFont="1" applyFill="1" applyBorder="1" applyProtection="1"/>
    <xf numFmtId="164" fontId="44" fillId="6" borderId="24" xfId="4" applyNumberFormat="1" applyFont="1" applyFill="1" applyBorder="1" applyAlignment="1" applyProtection="1">
      <alignment horizontal="right"/>
    </xf>
    <xf numFmtId="49" fontId="23" fillId="8" borderId="0" xfId="6" applyNumberFormat="1" applyFill="1" applyProtection="1"/>
    <xf numFmtId="49" fontId="21" fillId="8" borderId="0" xfId="0" applyNumberFormat="1" applyFont="1" applyFill="1" applyBorder="1" applyProtection="1"/>
    <xf numFmtId="49" fontId="23" fillId="8" borderId="0" xfId="0" applyNumberFormat="1" applyFont="1" applyFill="1" applyBorder="1" applyProtection="1"/>
    <xf numFmtId="49" fontId="23" fillId="8" borderId="0" xfId="6" applyNumberFormat="1" applyFont="1" applyFill="1" applyBorder="1" applyProtection="1"/>
    <xf numFmtId="49" fontId="21" fillId="8" borderId="0" xfId="0" applyNumberFormat="1" applyFont="1" applyFill="1" applyBorder="1" applyAlignment="1" applyProtection="1">
      <alignment horizontal="left"/>
    </xf>
    <xf numFmtId="49" fontId="23" fillId="8" borderId="0" xfId="3" applyNumberFormat="1" applyFill="1" applyBorder="1" applyProtection="1"/>
    <xf numFmtId="0" fontId="18" fillId="5" borderId="22" xfId="0" applyFont="1" applyFill="1" applyBorder="1" applyAlignment="1" applyProtection="1">
      <alignment horizontal="center" vertical="center"/>
    </xf>
    <xf numFmtId="0" fontId="18" fillId="5" borderId="23" xfId="0" applyFont="1" applyFill="1" applyBorder="1" applyAlignment="1" applyProtection="1">
      <alignment horizontal="center" vertical="center"/>
    </xf>
    <xf numFmtId="0" fontId="18" fillId="5" borderId="24" xfId="0" applyFont="1" applyFill="1" applyBorder="1" applyAlignment="1" applyProtection="1">
      <alignment horizontal="center" vertical="center"/>
    </xf>
    <xf numFmtId="0" fontId="21" fillId="5" borderId="26" xfId="0" applyFont="1" applyFill="1" applyBorder="1" applyAlignment="1" applyProtection="1">
      <alignment horizontal="center" vertical="center"/>
    </xf>
    <xf numFmtId="0" fontId="21" fillId="5" borderId="27" xfId="0" applyFont="1" applyFill="1" applyBorder="1" applyAlignment="1" applyProtection="1">
      <alignment horizontal="center" vertical="center"/>
    </xf>
    <xf numFmtId="0" fontId="21" fillId="5" borderId="28" xfId="0" applyFont="1" applyFill="1" applyBorder="1" applyAlignment="1" applyProtection="1">
      <alignment horizontal="center" vertical="center"/>
    </xf>
    <xf numFmtId="1" fontId="24" fillId="7" borderId="30" xfId="0" applyNumberFormat="1" applyFont="1" applyFill="1" applyBorder="1" applyAlignment="1" applyProtection="1">
      <alignment horizontal="center" vertical="center"/>
      <protection locked="0"/>
    </xf>
    <xf numFmtId="1" fontId="24" fillId="7" borderId="31" xfId="0" applyNumberFormat="1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</cellXfs>
  <cellStyles count="7">
    <cellStyle name="Beregning" xfId="1" builtinId="22"/>
    <cellStyle name="Normal" xfId="0" builtinId="0"/>
    <cellStyle name="Normal 2" xfId="4"/>
    <cellStyle name="Normal 2 2" xfId="6"/>
    <cellStyle name="Normal 3" xfId="3"/>
    <cellStyle name="Prosent 2" xfId="5"/>
    <cellStyle name="Utdata" xfId="2" builtinId="21"/>
  </cellStyles>
  <dxfs count="0"/>
  <tableStyles count="0" defaultTableStyle="TableStyleMedium2" defaultPivotStyle="PivotStyleLight16"/>
  <colors>
    <mruColors>
      <color rgb="FFFFFFCC"/>
      <color rgb="FFB9F9C8"/>
      <color rgb="FFFCE8D2"/>
      <color rgb="FFFDE2D1"/>
      <color rgb="FFDEFBFE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582145</xdr:colOff>
      <xdr:row>75</xdr:row>
      <xdr:rowOff>133350</xdr:rowOff>
    </xdr:from>
    <xdr:ext cx="1110666" cy="315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Sylinder 9"/>
            <xdr:cNvSpPr txBox="1"/>
          </xdr:nvSpPr>
          <xdr:spPr>
            <a:xfrm>
              <a:off x="3087220" y="11858625"/>
              <a:ext cx="1110666" cy="315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200" b="0" i="1">
                        <a:latin typeface="Cambria Math"/>
                      </a:rPr>
                      <m:t>𝐴</m:t>
                    </m:r>
                    <m:r>
                      <a:rPr lang="nb-NO" sz="12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nb-NO" sz="12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nb-NO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nb-NO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0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nb-NO" sz="1200"/>
            </a:p>
          </xdr:txBody>
        </xdr:sp>
      </mc:Choice>
      <mc:Fallback xmlns="">
        <xdr:sp macro="" textlink="">
          <xdr:nvSpPr>
            <xdr:cNvPr id="10" name="TekstSylinder 9"/>
            <xdr:cNvSpPr txBox="1"/>
          </xdr:nvSpPr>
          <xdr:spPr>
            <a:xfrm>
              <a:off x="3087220" y="11858625"/>
              <a:ext cx="1110666" cy="315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𝐴</a:t>
              </a:r>
              <a:r>
                <a:rPr lang="nb-NO" sz="1200" i="0">
                  <a:latin typeface="Cambria Math"/>
                </a:rPr>
                <a:t>=</a:t>
              </a:r>
              <a:r>
                <a:rPr lang="nb-NO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√(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∙𝐿_0 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nb-NO" sz="12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78</xdr:row>
          <xdr:rowOff>57150</xdr:rowOff>
        </xdr:from>
        <xdr:to>
          <xdr:col>5</xdr:col>
          <xdr:colOff>247650</xdr:colOff>
          <xdr:row>81</xdr:row>
          <xdr:rowOff>57150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628650</xdr:colOff>
      <xdr:row>69</xdr:row>
      <xdr:rowOff>123825</xdr:rowOff>
    </xdr:from>
    <xdr:to>
      <xdr:col>5</xdr:col>
      <xdr:colOff>285750</xdr:colOff>
      <xdr:row>71</xdr:row>
      <xdr:rowOff>142875</xdr:rowOff>
    </xdr:to>
    <xdr:pic>
      <xdr:nvPicPr>
        <xdr:cNvPr id="11" name="Bild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0696575"/>
          <a:ext cx="1219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42</xdr:row>
      <xdr:rowOff>9525</xdr:rowOff>
    </xdr:from>
    <xdr:to>
      <xdr:col>8</xdr:col>
      <xdr:colOff>1781175</xdr:colOff>
      <xdr:row>56</xdr:row>
      <xdr:rowOff>152400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13" b="11385"/>
        <a:stretch/>
      </xdr:blipFill>
      <xdr:spPr>
        <a:xfrm>
          <a:off x="190500" y="8791575"/>
          <a:ext cx="10058400" cy="28098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171450</xdr:colOff>
      <xdr:row>25</xdr:row>
      <xdr:rowOff>76200</xdr:rowOff>
    </xdr:from>
    <xdr:to>
      <xdr:col>8</xdr:col>
      <xdr:colOff>1762125</xdr:colOff>
      <xdr:row>39</xdr:row>
      <xdr:rowOff>133350</xdr:rowOff>
    </xdr:to>
    <xdr:pic>
      <xdr:nvPicPr>
        <xdr:cNvPr id="4" name="Bilde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64" b="5089"/>
        <a:stretch/>
      </xdr:blipFill>
      <xdr:spPr>
        <a:xfrm>
          <a:off x="171450" y="5619750"/>
          <a:ext cx="10058400" cy="2724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582145</xdr:colOff>
      <xdr:row>75</xdr:row>
      <xdr:rowOff>133350</xdr:rowOff>
    </xdr:from>
    <xdr:ext cx="1110666" cy="315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4363570" y="15078075"/>
              <a:ext cx="1110666" cy="315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200" b="0" i="1">
                        <a:latin typeface="Cambria Math"/>
                      </a:rPr>
                      <m:t>𝐴</m:t>
                    </m:r>
                    <m:r>
                      <a:rPr lang="nb-NO" sz="12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nb-NO" sz="12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nb-NO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nb-NO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Cambria Math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nb-NO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Cambria Math"/>
                                <a:cs typeface="+mn-cs"/>
                              </a:rPr>
                              <m:t>0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nb-NO" sz="1200"/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4363570" y="15078075"/>
              <a:ext cx="1110666" cy="315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200" b="0" i="0">
                  <a:latin typeface="Cambria Math"/>
                </a:rPr>
                <a:t>𝐴</a:t>
              </a:r>
              <a:r>
                <a:rPr lang="nb-NO" sz="1200" i="0">
                  <a:latin typeface="Cambria Math"/>
                </a:rPr>
                <a:t>=</a:t>
              </a:r>
              <a:r>
                <a:rPr lang="nb-NO" sz="12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√(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∙𝐿_0 </a:t>
              </a:r>
              <a:r>
                <a:rPr lang="nb-NO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nb-NO" sz="12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78</xdr:row>
          <xdr:rowOff>57150</xdr:rowOff>
        </xdr:from>
        <xdr:to>
          <xdr:col>5</xdr:col>
          <xdr:colOff>247650</xdr:colOff>
          <xdr:row>81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628650</xdr:colOff>
      <xdr:row>69</xdr:row>
      <xdr:rowOff>123825</xdr:rowOff>
    </xdr:from>
    <xdr:to>
      <xdr:col>5</xdr:col>
      <xdr:colOff>285750</xdr:colOff>
      <xdr:row>71</xdr:row>
      <xdr:rowOff>142875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3925550"/>
          <a:ext cx="1219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26</xdr:row>
      <xdr:rowOff>0</xdr:rowOff>
    </xdr:from>
    <xdr:to>
      <xdr:col>8</xdr:col>
      <xdr:colOff>1758043</xdr:colOff>
      <xdr:row>39</xdr:row>
      <xdr:rowOff>108857</xdr:rowOff>
    </xdr:to>
    <xdr:pic>
      <xdr:nvPicPr>
        <xdr:cNvPr id="3" name="Bild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60" b="6917"/>
        <a:stretch/>
      </xdr:blipFill>
      <xdr:spPr>
        <a:xfrm>
          <a:off x="136072" y="5742214"/>
          <a:ext cx="10058400" cy="258535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149679</xdr:colOff>
      <xdr:row>42</xdr:row>
      <xdr:rowOff>27214</xdr:rowOff>
    </xdr:from>
    <xdr:to>
      <xdr:col>8</xdr:col>
      <xdr:colOff>1771650</xdr:colOff>
      <xdr:row>56</xdr:row>
      <xdr:rowOff>163286</xdr:rowOff>
    </xdr:to>
    <xdr:pic>
      <xdr:nvPicPr>
        <xdr:cNvPr id="5" name="Bilde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57" b="6162"/>
        <a:stretch/>
      </xdr:blipFill>
      <xdr:spPr>
        <a:xfrm>
          <a:off x="149679" y="8817428"/>
          <a:ext cx="10058400" cy="280307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117417</xdr:colOff>
      <xdr:row>9</xdr:row>
      <xdr:rowOff>26644</xdr:rowOff>
    </xdr:from>
    <xdr:ext cx="2080260" cy="4781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879417" y="2187087"/>
              <a:ext cx="2080260" cy="4781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𝑅</m:t>
                    </m:r>
                    <m:r>
                      <a:rPr lang="nb-NO" sz="1100" b="0" i="1" baseline="-25000">
                        <a:latin typeface="Cambria Math"/>
                      </a:rPr>
                      <m:t>𝑚𝑖𝑛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10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nb-NO" sz="11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𝑉</m:t>
                            </m:r>
                          </m:e>
                          <m:sup>
                            <m:r>
                              <a:rPr lang="nb-NO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nb-NO" sz="1100" b="0" i="1">
                            <a:latin typeface="Cambria Math"/>
                          </a:rPr>
                          <m:t>127∗(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𝑒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/>
                              </a:rPr>
                              <m:t>𝑚𝑎𝑘𝑠</m:t>
                            </m:r>
                          </m:sub>
                        </m:sSub>
                        <m:sSub>
                          <m:sSubPr>
                            <m:ctrlPr>
                              <a:rPr lang="nb-NO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+</m:t>
                            </m:r>
                            <m:r>
                              <a:rPr lang="nb-NO" sz="1100" b="0" i="1">
                                <a:latin typeface="Cambria Math"/>
                                <a:ea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/>
                              </a:rPr>
                              <m:t>𝑘</m:t>
                            </m:r>
                          </m:sub>
                        </m:sSub>
                        <m:r>
                          <a:rPr lang="nb-NO" sz="1100" b="0" i="0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879417" y="2187087"/>
              <a:ext cx="2080260" cy="4781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𝑅</a:t>
              </a:r>
              <a:r>
                <a:rPr lang="nb-NO" sz="1100" b="0" i="0" baseline="-25000">
                  <a:latin typeface="Cambria Math"/>
                </a:rPr>
                <a:t>𝑚𝑖𝑛</a:t>
              </a:r>
              <a:r>
                <a:rPr lang="nb-NO" sz="1100" i="0">
                  <a:latin typeface="Cambria Math"/>
                </a:rPr>
                <a:t>=</a:t>
              </a:r>
              <a:r>
                <a:rPr lang="nb-NO" sz="1100" b="0" i="0">
                  <a:latin typeface="Cambria Math"/>
                </a:rPr>
                <a:t>𝑉^2/(127∗(𝑒_𝑚𝑎𝑘𝑠 〖+</a:t>
              </a:r>
              <a:r>
                <a:rPr lang="nb-NO" sz="1100" b="0" i="0">
                  <a:latin typeface="Cambria Math"/>
                  <a:ea typeface="Cambria Math"/>
                </a:rPr>
                <a:t>𝑓〗_</a:t>
              </a:r>
              <a:r>
                <a:rPr lang="nb-NO" sz="1100" b="0" i="0">
                  <a:latin typeface="Cambria Math"/>
                </a:rPr>
                <a:t>𝑘))</a:t>
              </a:r>
              <a:endParaRPr lang="nb-NO" sz="1100"/>
            </a:p>
          </xdr:txBody>
        </xdr:sp>
      </mc:Fallback>
    </mc:AlternateContent>
    <xdr:clientData/>
  </xdr:oneCellAnchor>
  <xdr:oneCellAnchor>
    <xdr:from>
      <xdr:col>0</xdr:col>
      <xdr:colOff>56272</xdr:colOff>
      <xdr:row>29</xdr:row>
      <xdr:rowOff>134641</xdr:rowOff>
    </xdr:from>
    <xdr:ext cx="2004060" cy="5184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/>
            <xdr:cNvSpPr txBox="1"/>
          </xdr:nvSpPr>
          <xdr:spPr>
            <a:xfrm>
              <a:off x="56272" y="10640716"/>
              <a:ext cx="2004060" cy="5184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𝐿</m:t>
                    </m:r>
                    <m:r>
                      <a:rPr lang="nb-NO" sz="1100" b="0" i="1" baseline="-25000">
                        <a:latin typeface="Cambria Math"/>
                      </a:rPr>
                      <m:t>0(</m:t>
                    </m:r>
                    <m:func>
                      <m:funcPr>
                        <m:ctrlPr>
                          <a:rPr lang="nb-NO" sz="1100" b="0" i="1" baseline="-25000">
                            <a:latin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nb-NO" sz="1100" b="0" i="0" baseline="-25000">
                            <a:latin typeface="Cambria Math"/>
                          </a:rPr>
                          <m:t>min</m:t>
                        </m:r>
                      </m:fName>
                      <m:e/>
                    </m:func>
                    <m:r>
                      <a:rPr lang="nb-NO" sz="1100" b="0" i="1" baseline="-25000">
                        <a:latin typeface="Cambria Math"/>
                      </a:rPr>
                      <m:t>)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/>
                          </a:rPr>
                          <m:t>𝑏</m:t>
                        </m:r>
                        <m:r>
                          <a:rPr lang="nb-NO" sz="1100" b="0" i="1">
                            <a:latin typeface="Cambria Math"/>
                          </a:rPr>
                          <m:t>∗</m:t>
                        </m:r>
                        <m:r>
                          <a:rPr lang="nb-NO" sz="1100" b="0" i="1">
                            <a:latin typeface="Cambria Math"/>
                          </a:rPr>
                          <m:t>𝑉</m:t>
                        </m:r>
                        <m:r>
                          <a:rPr lang="nb-NO" sz="1100" b="0" i="1">
                            <a:latin typeface="Cambria Math"/>
                          </a:rPr>
                          <m:t>∗</m:t>
                        </m:r>
                        <m:r>
                          <a:rPr lang="nb-NO" sz="1100" b="0" i="1">
                            <a:latin typeface="Cambria Math"/>
                          </a:rPr>
                          <m:t>𝑒𝑑</m:t>
                        </m:r>
                      </m:num>
                      <m:den>
                        <m:r>
                          <a:rPr lang="nb-NO" sz="1100" b="0" i="1">
                            <a:latin typeface="Cambria Math"/>
                          </a:rPr>
                          <m:t>3,6∗</m:t>
                        </m:r>
                        <m:r>
                          <a:rPr lang="nb-NO" sz="1100" b="0" i="1">
                            <a:latin typeface="Cambria Math"/>
                          </a:rPr>
                          <m:t>𝑣𝑣𝑓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56272" y="10640716"/>
              <a:ext cx="2004060" cy="5184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𝐿</a:t>
              </a:r>
              <a:r>
                <a:rPr lang="nb-NO" sz="1100" b="0" i="0" baseline="-25000">
                  <a:latin typeface="Cambria Math"/>
                </a:rPr>
                <a:t>0(min⁡ )</a:t>
              </a:r>
              <a:r>
                <a:rPr lang="nb-NO" sz="1100" i="0">
                  <a:latin typeface="Cambria Math"/>
                </a:rPr>
                <a:t>=(</a:t>
              </a:r>
              <a:r>
                <a:rPr lang="nb-NO" sz="1100" b="0" i="0">
                  <a:latin typeface="Cambria Math"/>
                </a:rPr>
                <a:t>𝑏∗𝑉∗𝑒𝑑)/(3,6∗𝑣𝑣𝑓)</a:t>
              </a:r>
              <a:endParaRPr lang="nb-NO" sz="1100"/>
            </a:p>
          </xdr:txBody>
        </xdr:sp>
      </mc:Fallback>
    </mc:AlternateContent>
    <xdr:clientData/>
  </xdr:oneCellAnchor>
  <xdr:twoCellAnchor>
    <xdr:from>
      <xdr:col>0</xdr:col>
      <xdr:colOff>183173</xdr:colOff>
      <xdr:row>34</xdr:row>
      <xdr:rowOff>0</xdr:rowOff>
    </xdr:from>
    <xdr:to>
      <xdr:col>0</xdr:col>
      <xdr:colOff>1430948</xdr:colOff>
      <xdr:row>35</xdr:row>
      <xdr:rowOff>41031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11506200"/>
          <a:ext cx="1247775" cy="269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60909</xdr:colOff>
      <xdr:row>37</xdr:row>
      <xdr:rowOff>56701</xdr:rowOff>
    </xdr:from>
    <xdr:ext cx="2686687" cy="2870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/>
            <xdr:cNvSpPr txBox="1"/>
          </xdr:nvSpPr>
          <xdr:spPr>
            <a:xfrm>
              <a:off x="60909" y="12172501"/>
              <a:ext cx="2686687" cy="287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𝐴</m:t>
                    </m:r>
                    <m:r>
                      <a:rPr lang="nb-NO" sz="1100" b="0" i="1" baseline="-25000">
                        <a:latin typeface="Cambria Math"/>
                      </a:rPr>
                      <m:t>𝑚𝑖𝑛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nb-N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𝐿𝑚𝑖𝑛</m:t>
                        </m:r>
                      </m:e>
                    </m:rad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5" name="TekstSylinder 4"/>
            <xdr:cNvSpPr txBox="1"/>
          </xdr:nvSpPr>
          <xdr:spPr>
            <a:xfrm>
              <a:off x="60909" y="12172501"/>
              <a:ext cx="2686687" cy="287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𝐴</a:t>
              </a:r>
              <a:r>
                <a:rPr lang="nb-NO" sz="1100" b="0" i="0" baseline="-25000">
                  <a:latin typeface="Cambria Math"/>
                </a:rPr>
                <a:t>𝑚𝑖𝑛</a:t>
              </a:r>
              <a:r>
                <a:rPr lang="nb-NO" sz="1100" i="0">
                  <a:latin typeface="Cambria Math"/>
                </a:rPr>
                <a:t>=</a:t>
              </a:r>
              <a:r>
                <a:rPr lang="nb-NO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√(</a:t>
              </a:r>
              <a:r>
                <a:rPr lang="nb-NO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𝑅∗𝐿𝑚𝑖𝑛)</a:t>
              </a:r>
              <a:endParaRPr lang="nb-NO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117417</xdr:colOff>
      <xdr:row>9</xdr:row>
      <xdr:rowOff>26644</xdr:rowOff>
    </xdr:from>
    <xdr:ext cx="2080260" cy="4781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879417" y="2179294"/>
              <a:ext cx="2080260" cy="4781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𝑅</m:t>
                    </m:r>
                    <m:r>
                      <a:rPr lang="nb-NO" sz="1100" b="0" i="1" baseline="-25000">
                        <a:latin typeface="Cambria Math"/>
                      </a:rPr>
                      <m:t>𝑚𝑖𝑛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10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nb-NO" sz="110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𝑉</m:t>
                            </m:r>
                          </m:e>
                          <m:sup>
                            <m:r>
                              <a:rPr lang="nb-NO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nb-NO" sz="1100" b="0" i="1">
                            <a:latin typeface="Cambria Math"/>
                          </a:rPr>
                          <m:t>127∗(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𝑒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/>
                              </a:rPr>
                              <m:t>𝑚𝑎𝑘𝑠</m:t>
                            </m:r>
                          </m:sub>
                        </m:sSub>
                        <m:sSub>
                          <m:sSubPr>
                            <m:ctrlPr>
                              <a:rPr lang="nb-NO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/>
                              </a:rPr>
                              <m:t>+</m:t>
                            </m:r>
                            <m:r>
                              <a:rPr lang="nb-NO" sz="1100" b="0" i="1">
                                <a:latin typeface="Cambria Math"/>
                                <a:ea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/>
                              </a:rPr>
                              <m:t>𝑘</m:t>
                            </m:r>
                          </m:sub>
                        </m:sSub>
                        <m:r>
                          <a:rPr lang="nb-NO" sz="1100" b="0" i="0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879417" y="2179294"/>
              <a:ext cx="2080260" cy="4781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𝑅</a:t>
              </a:r>
              <a:r>
                <a:rPr lang="nb-NO" sz="1100" b="0" i="0" baseline="-25000">
                  <a:latin typeface="Cambria Math"/>
                </a:rPr>
                <a:t>𝑚𝑖𝑛</a:t>
              </a:r>
              <a:r>
                <a:rPr lang="nb-NO" sz="1100" i="0">
                  <a:latin typeface="Cambria Math"/>
                </a:rPr>
                <a:t>=</a:t>
              </a:r>
              <a:r>
                <a:rPr lang="nb-NO" sz="1100" b="0" i="0">
                  <a:latin typeface="Cambria Math"/>
                </a:rPr>
                <a:t>𝑉^2/(127∗(𝑒_𝑚𝑎𝑘𝑠 〖+</a:t>
              </a:r>
              <a:r>
                <a:rPr lang="nb-NO" sz="1100" b="0" i="0">
                  <a:latin typeface="Cambria Math"/>
                  <a:ea typeface="Cambria Math"/>
                </a:rPr>
                <a:t>𝑓〗_</a:t>
              </a:r>
              <a:r>
                <a:rPr lang="nb-NO" sz="1100" b="0" i="0">
                  <a:latin typeface="Cambria Math"/>
                </a:rPr>
                <a:t>𝑘))</a:t>
              </a:r>
              <a:endParaRPr lang="nb-NO" sz="1100"/>
            </a:p>
          </xdr:txBody>
        </xdr:sp>
      </mc:Fallback>
    </mc:AlternateContent>
    <xdr:clientData/>
  </xdr:oneCellAnchor>
  <xdr:oneCellAnchor>
    <xdr:from>
      <xdr:col>0</xdr:col>
      <xdr:colOff>56272</xdr:colOff>
      <xdr:row>29</xdr:row>
      <xdr:rowOff>134641</xdr:rowOff>
    </xdr:from>
    <xdr:ext cx="2004060" cy="5184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/>
            <xdr:cNvSpPr txBox="1"/>
          </xdr:nvSpPr>
          <xdr:spPr>
            <a:xfrm>
              <a:off x="56272" y="6268741"/>
              <a:ext cx="2004060" cy="5184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𝐿</m:t>
                    </m:r>
                    <m:r>
                      <a:rPr lang="nb-NO" sz="1100" b="0" i="1" baseline="-25000">
                        <a:latin typeface="Cambria Math"/>
                      </a:rPr>
                      <m:t>0(</m:t>
                    </m:r>
                    <m:func>
                      <m:funcPr>
                        <m:ctrlPr>
                          <a:rPr lang="nb-NO" sz="1100" b="0" i="1" baseline="-25000">
                            <a:latin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nb-NO" sz="1100" b="0" i="0" baseline="-25000">
                            <a:latin typeface="Cambria Math"/>
                          </a:rPr>
                          <m:t>min</m:t>
                        </m:r>
                      </m:fName>
                      <m:e/>
                    </m:func>
                    <m:r>
                      <a:rPr lang="nb-NO" sz="1100" b="0" i="1" baseline="-25000">
                        <a:latin typeface="Cambria Math"/>
                      </a:rPr>
                      <m:t>)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nb-NO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/>
                          </a:rPr>
                          <m:t>𝑏</m:t>
                        </m:r>
                        <m:r>
                          <a:rPr lang="nb-NO" sz="1100" b="0" i="1">
                            <a:latin typeface="Cambria Math"/>
                          </a:rPr>
                          <m:t>∗</m:t>
                        </m:r>
                        <m:r>
                          <a:rPr lang="nb-NO" sz="1100" b="0" i="1">
                            <a:latin typeface="Cambria Math"/>
                          </a:rPr>
                          <m:t>𝑉</m:t>
                        </m:r>
                        <m:r>
                          <a:rPr lang="nb-NO" sz="1100" b="0" i="1">
                            <a:latin typeface="Cambria Math"/>
                          </a:rPr>
                          <m:t>∗</m:t>
                        </m:r>
                        <m:r>
                          <a:rPr lang="nb-NO" sz="1100" b="0" i="1">
                            <a:latin typeface="Cambria Math"/>
                          </a:rPr>
                          <m:t>𝑒𝑑</m:t>
                        </m:r>
                      </m:num>
                      <m:den>
                        <m:r>
                          <a:rPr lang="nb-NO" sz="1100" b="0" i="1">
                            <a:latin typeface="Cambria Math"/>
                          </a:rPr>
                          <m:t>3,6∗</m:t>
                        </m:r>
                        <m:r>
                          <a:rPr lang="nb-NO" sz="1100" b="0" i="1">
                            <a:latin typeface="Cambria Math"/>
                          </a:rPr>
                          <m:t>𝑣𝑣𝑓</m:t>
                        </m:r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56272" y="6268741"/>
              <a:ext cx="2004060" cy="5184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𝐿</a:t>
              </a:r>
              <a:r>
                <a:rPr lang="nb-NO" sz="1100" b="0" i="0" baseline="-25000">
                  <a:latin typeface="Cambria Math"/>
                </a:rPr>
                <a:t>0(min⁡ )</a:t>
              </a:r>
              <a:r>
                <a:rPr lang="nb-NO" sz="1100" i="0">
                  <a:latin typeface="Cambria Math"/>
                </a:rPr>
                <a:t>=(</a:t>
              </a:r>
              <a:r>
                <a:rPr lang="nb-NO" sz="1100" b="0" i="0">
                  <a:latin typeface="Cambria Math"/>
                </a:rPr>
                <a:t>𝑏∗𝑉∗𝑒𝑑)/(3,6∗𝑣𝑣𝑓)</a:t>
              </a:r>
              <a:endParaRPr lang="nb-NO" sz="1100"/>
            </a:p>
          </xdr:txBody>
        </xdr:sp>
      </mc:Fallback>
    </mc:AlternateContent>
    <xdr:clientData/>
  </xdr:oneCellAnchor>
  <xdr:twoCellAnchor>
    <xdr:from>
      <xdr:col>0</xdr:col>
      <xdr:colOff>183173</xdr:colOff>
      <xdr:row>34</xdr:row>
      <xdr:rowOff>0</xdr:rowOff>
    </xdr:from>
    <xdr:to>
      <xdr:col>0</xdr:col>
      <xdr:colOff>1430948</xdr:colOff>
      <xdr:row>35</xdr:row>
      <xdr:rowOff>41031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7134225"/>
          <a:ext cx="581025" cy="269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60909</xdr:colOff>
      <xdr:row>37</xdr:row>
      <xdr:rowOff>56701</xdr:rowOff>
    </xdr:from>
    <xdr:ext cx="2686687" cy="2870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/>
            <xdr:cNvSpPr txBox="1"/>
          </xdr:nvSpPr>
          <xdr:spPr>
            <a:xfrm>
              <a:off x="60909" y="7838626"/>
              <a:ext cx="2686687" cy="287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/>
                      </a:rPr>
                      <m:t>𝐴</m:t>
                    </m:r>
                    <m:r>
                      <a:rPr lang="nb-NO" sz="1100" b="0" i="1" baseline="-25000">
                        <a:latin typeface="Cambria Math"/>
                      </a:rPr>
                      <m:t>𝑚𝑖𝑛</m:t>
                    </m:r>
                    <m:r>
                      <a:rPr lang="nb-NO" sz="11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nb-NO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nb-NO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𝐿𝑚𝑖𝑛</m:t>
                        </m:r>
                      </m:e>
                    </m:rad>
                  </m:oMath>
                </m:oMathPara>
              </a14:m>
              <a:endParaRPr lang="nb-NO" sz="1100"/>
            </a:p>
          </xdr:txBody>
        </xdr:sp>
      </mc:Choice>
      <mc:Fallback xmlns="">
        <xdr:sp macro="" textlink="">
          <xdr:nvSpPr>
            <xdr:cNvPr id="5" name="TekstSylinder 4"/>
            <xdr:cNvSpPr txBox="1"/>
          </xdr:nvSpPr>
          <xdr:spPr>
            <a:xfrm>
              <a:off x="60909" y="7838626"/>
              <a:ext cx="2686687" cy="2870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nb-NO" sz="1100" b="0" i="0">
                  <a:latin typeface="Cambria Math"/>
                </a:rPr>
                <a:t>𝐴</a:t>
              </a:r>
              <a:r>
                <a:rPr lang="nb-NO" sz="1100" b="0" i="0" baseline="-25000">
                  <a:latin typeface="Cambria Math"/>
                </a:rPr>
                <a:t>𝑚𝑖𝑛</a:t>
              </a:r>
              <a:r>
                <a:rPr lang="nb-NO" sz="1100" i="0">
                  <a:latin typeface="Cambria Math"/>
                </a:rPr>
                <a:t>=</a:t>
              </a:r>
              <a:r>
                <a:rPr lang="nb-NO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√(</a:t>
              </a:r>
              <a:r>
                <a:rPr lang="nb-NO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𝑅∗𝐿𝑚𝑖𝑛)</a:t>
              </a:r>
              <a:endParaRPr lang="nb-NO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TGTRH/Downloads/vsf-modell~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F"/>
      <sheetName val="Beregning retardasjonsstrekning"/>
      <sheetName val="Modell kømagasin"/>
      <sheetName val="Tabeller"/>
    </sheetNames>
    <sheetDataSet>
      <sheetData sheetId="0"/>
      <sheetData sheetId="1"/>
      <sheetData sheetId="2"/>
      <sheetData sheetId="3">
        <row r="4">
          <cell r="B4">
            <v>40</v>
          </cell>
        </row>
        <row r="5">
          <cell r="B5">
            <v>50</v>
          </cell>
        </row>
        <row r="6">
          <cell r="B6">
            <v>60</v>
          </cell>
        </row>
        <row r="7">
          <cell r="B7">
            <v>70</v>
          </cell>
        </row>
        <row r="8">
          <cell r="B8">
            <v>80</v>
          </cell>
        </row>
        <row r="9">
          <cell r="B9">
            <v>90</v>
          </cell>
        </row>
        <row r="10">
          <cell r="B1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-dokument2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J85"/>
  <sheetViews>
    <sheetView tabSelected="1" view="pageBreakPreview" topLeftCell="A5" zoomScale="145" zoomScaleNormal="85" zoomScaleSheetLayoutView="145" zoomScalePageLayoutView="55" workbookViewId="0">
      <selection activeCell="C5" sqref="C5:D5"/>
    </sheetView>
  </sheetViews>
  <sheetFormatPr baseColWidth="10" defaultRowHeight="15" x14ac:dyDescent="0.25"/>
  <cols>
    <col min="1" max="1" width="26.7109375" style="4" customWidth="1"/>
    <col min="2" max="2" width="26" style="4" customWidth="1"/>
    <col min="3" max="8" width="10.85546875" style="4" customWidth="1"/>
    <col min="9" max="9" width="26.7109375" style="4" customWidth="1"/>
    <col min="10" max="10" width="1.7109375" style="3" customWidth="1"/>
    <col min="11" max="16384" width="11.42578125" style="4"/>
  </cols>
  <sheetData>
    <row r="1" spans="1:9" ht="26.25" x14ac:dyDescent="0.25">
      <c r="A1" s="165" t="s">
        <v>99</v>
      </c>
      <c r="B1" s="166"/>
      <c r="C1" s="166"/>
      <c r="D1" s="166"/>
      <c r="E1" s="166"/>
      <c r="F1" s="166"/>
      <c r="G1" s="166"/>
      <c r="H1" s="166"/>
      <c r="I1" s="167"/>
    </row>
    <row r="2" spans="1:9" x14ac:dyDescent="0.25">
      <c r="A2" s="168" t="s">
        <v>108</v>
      </c>
      <c r="B2" s="169"/>
      <c r="C2" s="169"/>
      <c r="D2" s="169"/>
      <c r="E2" s="169"/>
      <c r="F2" s="169"/>
      <c r="G2" s="169"/>
      <c r="H2" s="169"/>
      <c r="I2" s="170"/>
    </row>
    <row r="3" spans="1:9" x14ac:dyDescent="0.2">
      <c r="A3" s="112"/>
      <c r="B3" s="113"/>
      <c r="C3" s="113"/>
      <c r="D3" s="113"/>
      <c r="E3" s="113"/>
      <c r="F3" s="113"/>
      <c r="G3" s="113"/>
      <c r="H3" s="113"/>
      <c r="I3" s="158" t="str">
        <f>"Versjon "&amp;Versjoner!C2&amp;" / "&amp;Versjoner!G2</f>
        <v>Versjon 1.0 / 2012-12-12</v>
      </c>
    </row>
    <row r="4" spans="1:9" x14ac:dyDescent="0.25">
      <c r="A4" s="115" t="s">
        <v>103</v>
      </c>
      <c r="B4" s="116"/>
      <c r="C4" s="116"/>
      <c r="D4" s="116"/>
      <c r="E4" s="116"/>
      <c r="F4" s="116"/>
      <c r="G4" s="116"/>
      <c r="H4" s="116"/>
      <c r="I4" s="118"/>
    </row>
    <row r="5" spans="1:9" ht="15" customHeight="1" x14ac:dyDescent="0.25">
      <c r="A5" s="119" t="s">
        <v>125</v>
      </c>
      <c r="B5" s="6"/>
      <c r="C5" s="171" t="s">
        <v>37</v>
      </c>
      <c r="D5" s="172"/>
      <c r="E5" s="116"/>
      <c r="F5" s="120" t="str">
        <f>IF('AR-formler'!$Q$27="Gyldig","",'AR-formler'!$Q$27)</f>
        <v/>
      </c>
      <c r="G5" s="116"/>
      <c r="H5" s="116"/>
      <c r="I5" s="118"/>
    </row>
    <row r="6" spans="1:9" ht="15" customHeight="1" x14ac:dyDescent="0.25">
      <c r="A6" s="119" t="s">
        <v>100</v>
      </c>
      <c r="B6" s="6"/>
      <c r="C6" s="121" t="s">
        <v>77</v>
      </c>
      <c r="D6" s="7">
        <v>700</v>
      </c>
      <c r="E6" s="122" t="s">
        <v>6</v>
      </c>
      <c r="F6" s="8" t="s">
        <v>116</v>
      </c>
      <c r="G6" s="116"/>
      <c r="H6" s="116"/>
      <c r="I6" s="118"/>
    </row>
    <row r="7" spans="1:9" ht="15" customHeight="1" x14ac:dyDescent="0.25">
      <c r="A7" s="119" t="s">
        <v>105</v>
      </c>
      <c r="B7" s="116"/>
      <c r="C7" s="121" t="s">
        <v>78</v>
      </c>
      <c r="D7" s="2">
        <v>8</v>
      </c>
      <c r="E7" s="116" t="s">
        <v>89</v>
      </c>
      <c r="F7" s="8" t="s">
        <v>101</v>
      </c>
      <c r="G7" s="116"/>
      <c r="H7" s="116"/>
      <c r="I7" s="118"/>
    </row>
    <row r="8" spans="1:9" ht="15" customHeight="1" x14ac:dyDescent="0.25">
      <c r="A8" s="119" t="s">
        <v>61</v>
      </c>
      <c r="B8" s="116"/>
      <c r="C8" s="123" t="s">
        <v>79</v>
      </c>
      <c r="D8" s="2">
        <v>3</v>
      </c>
      <c r="E8" s="116" t="s">
        <v>89</v>
      </c>
      <c r="F8" s="124" t="s">
        <v>112</v>
      </c>
      <c r="G8" s="116"/>
      <c r="H8" s="116"/>
      <c r="I8" s="118"/>
    </row>
    <row r="9" spans="1:9" ht="15" customHeight="1" x14ac:dyDescent="0.25">
      <c r="A9" s="125" t="str">
        <f>IF($C$5&amp;$C$11='AR-formler'!$P$20,'AR-formler'!$U$20,"")</f>
        <v/>
      </c>
      <c r="B9" s="116"/>
      <c r="C9" s="126"/>
      <c r="D9" s="127"/>
      <c r="E9" s="116"/>
      <c r="F9" s="116"/>
      <c r="G9" s="116"/>
      <c r="H9" s="116"/>
      <c r="I9" s="118"/>
    </row>
    <row r="10" spans="1:9" ht="15" customHeight="1" x14ac:dyDescent="0.25">
      <c r="A10" s="115" t="s">
        <v>102</v>
      </c>
      <c r="B10" s="116"/>
      <c r="C10" s="116"/>
      <c r="D10" s="116"/>
      <c r="E10" s="116"/>
      <c r="F10" s="116"/>
      <c r="G10" s="117"/>
      <c r="H10" s="116"/>
      <c r="I10" s="118"/>
    </row>
    <row r="11" spans="1:9" ht="15" customHeight="1" x14ac:dyDescent="0.25">
      <c r="A11" s="119" t="s">
        <v>42</v>
      </c>
      <c r="B11" s="116"/>
      <c r="C11" s="171" t="s">
        <v>38</v>
      </c>
      <c r="D11" s="172"/>
      <c r="E11" s="116"/>
      <c r="F11" s="120" t="str">
        <f>IF('AR-formler'!$Q$27="Gyldig","",'AR-formler'!$Q$27)</f>
        <v/>
      </c>
      <c r="G11" s="116"/>
      <c r="H11" s="116"/>
      <c r="I11" s="118"/>
    </row>
    <row r="12" spans="1:9" ht="15" customHeight="1" x14ac:dyDescent="0.25">
      <c r="A12" s="119" t="s">
        <v>26</v>
      </c>
      <c r="B12" s="6"/>
      <c r="C12" s="121" t="s">
        <v>80</v>
      </c>
      <c r="D12" s="7">
        <v>100</v>
      </c>
      <c r="E12" s="122" t="s">
        <v>6</v>
      </c>
      <c r="F12" s="8" t="s">
        <v>104</v>
      </c>
      <c r="G12" s="116"/>
      <c r="H12" s="116"/>
      <c r="I12" s="118"/>
    </row>
    <row r="13" spans="1:9" ht="15" customHeight="1" x14ac:dyDescent="0.25">
      <c r="A13" s="119" t="s">
        <v>35</v>
      </c>
      <c r="B13" s="6"/>
      <c r="C13" s="121" t="s">
        <v>81</v>
      </c>
      <c r="D13" s="2">
        <v>-8</v>
      </c>
      <c r="E13" s="116" t="s">
        <v>89</v>
      </c>
      <c r="F13" s="8" t="s">
        <v>83</v>
      </c>
      <c r="G13" s="116"/>
      <c r="H13" s="116"/>
      <c r="I13" s="118"/>
    </row>
    <row r="14" spans="1:9" ht="15" customHeight="1" x14ac:dyDescent="0.25">
      <c r="A14" s="119"/>
      <c r="B14" s="116"/>
      <c r="C14" s="9" t="str">
        <f>'AR-formler'!$T$27</f>
        <v/>
      </c>
      <c r="D14" s="144"/>
      <c r="E14" s="116"/>
      <c r="F14" s="116"/>
      <c r="G14" s="116"/>
      <c r="H14" s="116"/>
      <c r="I14" s="118"/>
    </row>
    <row r="15" spans="1:9" ht="15" customHeight="1" x14ac:dyDescent="0.25">
      <c r="A15" s="115"/>
      <c r="B15" s="116"/>
      <c r="C15" s="128"/>
      <c r="D15" s="116"/>
      <c r="E15" s="116"/>
      <c r="F15" s="116"/>
      <c r="G15" s="116"/>
      <c r="H15" s="116"/>
      <c r="I15" s="118"/>
    </row>
    <row r="16" spans="1:9" ht="15" customHeight="1" x14ac:dyDescent="0.25">
      <c r="A16" s="129" t="s">
        <v>106</v>
      </c>
      <c r="B16" s="6"/>
      <c r="C16" s="121" t="s">
        <v>107</v>
      </c>
      <c r="D16" s="25">
        <f>IF($C$11='AR-formler'!$V$19,80,HLOOKUP(D12,'AR-formler'!Q9:AL12,4,TRUE))</f>
        <v>60</v>
      </c>
      <c r="E16" s="122" t="s">
        <v>5</v>
      </c>
      <c r="F16" s="8" t="s">
        <v>52</v>
      </c>
      <c r="G16" s="116"/>
      <c r="H16" s="116"/>
      <c r="I16" s="118"/>
    </row>
    <row r="17" spans="1:9" ht="15" customHeight="1" x14ac:dyDescent="0.25">
      <c r="A17" s="119" t="s">
        <v>109</v>
      </c>
      <c r="B17" s="6"/>
      <c r="C17" s="121" t="s">
        <v>63</v>
      </c>
      <c r="D17" s="25">
        <f>'AR-formler'!P35*100</f>
        <v>11</v>
      </c>
      <c r="E17" s="116" t="s">
        <v>89</v>
      </c>
      <c r="F17" s="8" t="s">
        <v>111</v>
      </c>
      <c r="G17" s="116"/>
      <c r="H17" s="116"/>
      <c r="I17" s="118"/>
    </row>
    <row r="18" spans="1:9" ht="15" customHeight="1" x14ac:dyDescent="0.25">
      <c r="A18" s="119" t="s">
        <v>110</v>
      </c>
      <c r="B18" s="116"/>
      <c r="C18" s="121" t="s">
        <v>82</v>
      </c>
      <c r="D18" s="25">
        <f>'AR-formler'!P36*100</f>
        <v>5</v>
      </c>
      <c r="E18" s="116" t="s">
        <v>89</v>
      </c>
      <c r="F18" s="130" t="s">
        <v>93</v>
      </c>
      <c r="G18" s="116"/>
      <c r="H18" s="116"/>
      <c r="I18" s="118"/>
    </row>
    <row r="19" spans="1:9" ht="15" customHeight="1" x14ac:dyDescent="0.25">
      <c r="A19" s="119"/>
      <c r="B19" s="116"/>
      <c r="C19" s="116"/>
      <c r="D19" s="116"/>
      <c r="E19" s="116"/>
      <c r="F19" s="116"/>
      <c r="G19" s="116"/>
      <c r="H19" s="116"/>
      <c r="I19" s="118"/>
    </row>
    <row r="20" spans="1:9" x14ac:dyDescent="0.25">
      <c r="A20" s="131" t="s">
        <v>130</v>
      </c>
      <c r="B20" s="132"/>
      <c r="C20" s="132"/>
      <c r="D20" s="132"/>
      <c r="E20" s="132"/>
      <c r="F20" s="132"/>
      <c r="G20" s="132"/>
      <c r="H20" s="132"/>
      <c r="I20" s="118"/>
    </row>
    <row r="21" spans="1:9" ht="16.5" x14ac:dyDescent="0.25">
      <c r="A21" s="11" t="s">
        <v>41</v>
      </c>
      <c r="B21" s="12"/>
      <c r="C21" s="12"/>
      <c r="D21" s="12"/>
      <c r="E21" s="12"/>
      <c r="F21" s="133" t="s">
        <v>149</v>
      </c>
      <c r="G21" s="13">
        <f>VLOOKUP($C$5&amp;$C$11,'AR-formler'!$P$17:$S$27,3,FALSE)</f>
        <v>60.499999999999993</v>
      </c>
      <c r="H21" s="14" t="s">
        <v>6</v>
      </c>
      <c r="I21" s="15"/>
    </row>
    <row r="22" spans="1:9" ht="16.5" x14ac:dyDescent="0.25">
      <c r="A22" s="11" t="s">
        <v>129</v>
      </c>
      <c r="B22" s="12"/>
      <c r="C22" s="12"/>
      <c r="D22" s="12"/>
      <c r="E22" s="12"/>
      <c r="F22" s="133" t="s">
        <v>131</v>
      </c>
      <c r="G22" s="13">
        <f>$E$74*$D$16*('AR-formler'!$P$32-'AR-formler'!$P$33)/(3.6*$E$75)</f>
        <v>27.499999999999996</v>
      </c>
      <c r="H22" s="16" t="s">
        <v>6</v>
      </c>
      <c r="I22" s="15"/>
    </row>
    <row r="23" spans="1:9" x14ac:dyDescent="0.25">
      <c r="A23" s="119"/>
      <c r="B23" s="132"/>
      <c r="C23" s="132"/>
      <c r="D23" s="132"/>
      <c r="E23" s="132"/>
      <c r="F23" s="132"/>
      <c r="G23" s="132"/>
      <c r="H23" s="132"/>
      <c r="I23" s="118"/>
    </row>
    <row r="24" spans="1:9" x14ac:dyDescent="0.25">
      <c r="A24" s="134" t="s">
        <v>46</v>
      </c>
      <c r="B24" s="135"/>
      <c r="C24" s="135"/>
      <c r="D24" s="135"/>
      <c r="E24" s="135"/>
      <c r="F24" s="135"/>
      <c r="G24" s="135"/>
      <c r="H24" s="135"/>
      <c r="I24" s="136"/>
    </row>
    <row r="25" spans="1:9" ht="16.5" x14ac:dyDescent="0.25">
      <c r="A25" s="17" t="s">
        <v>29</v>
      </c>
      <c r="B25" s="18"/>
      <c r="C25" s="18"/>
      <c r="D25" s="18"/>
      <c r="E25" s="18"/>
      <c r="F25" s="133" t="s">
        <v>128</v>
      </c>
      <c r="G25" s="19">
        <f>VLOOKUP($C$5&amp;$C$11,'AR-formler'!$P$17:$S$27,4,FALSE)</f>
        <v>72.758161054276229</v>
      </c>
      <c r="H25" s="20" t="s">
        <v>6</v>
      </c>
      <c r="I25" s="21"/>
    </row>
    <row r="26" spans="1:9" x14ac:dyDescent="0.25">
      <c r="A26" s="119"/>
      <c r="B26" s="116"/>
      <c r="C26" s="116"/>
      <c r="D26" s="116"/>
      <c r="E26" s="116"/>
      <c r="F26" s="116"/>
      <c r="G26" s="116"/>
      <c r="H26" s="116"/>
      <c r="I26" s="118"/>
    </row>
    <row r="27" spans="1:9" x14ac:dyDescent="0.25">
      <c r="A27" s="119"/>
      <c r="B27" s="116"/>
      <c r="C27" s="116"/>
      <c r="D27" s="116"/>
      <c r="E27" s="116"/>
      <c r="F27" s="116"/>
      <c r="G27" s="116"/>
      <c r="H27" s="116"/>
      <c r="I27" s="118"/>
    </row>
    <row r="28" spans="1:9" x14ac:dyDescent="0.25">
      <c r="A28" s="119"/>
      <c r="B28" s="116"/>
      <c r="C28" s="116"/>
      <c r="D28" s="116"/>
      <c r="E28" s="116"/>
      <c r="F28" s="116"/>
      <c r="G28" s="116"/>
      <c r="H28" s="116"/>
      <c r="I28" s="118"/>
    </row>
    <row r="29" spans="1:9" x14ac:dyDescent="0.25">
      <c r="A29" s="119"/>
      <c r="B29" s="116"/>
      <c r="C29" s="116"/>
      <c r="D29" s="116"/>
      <c r="E29" s="116"/>
      <c r="F29" s="116"/>
      <c r="G29" s="116"/>
      <c r="H29" s="116"/>
      <c r="I29" s="118"/>
    </row>
    <row r="30" spans="1:9" x14ac:dyDescent="0.25">
      <c r="A30" s="119"/>
      <c r="B30" s="116"/>
      <c r="C30" s="116"/>
      <c r="D30" s="116"/>
      <c r="E30" s="116"/>
      <c r="F30" s="116"/>
      <c r="G30" s="116"/>
      <c r="H30" s="116"/>
      <c r="I30" s="118"/>
    </row>
    <row r="31" spans="1:9" x14ac:dyDescent="0.25">
      <c r="A31" s="119"/>
      <c r="B31" s="116"/>
      <c r="C31" s="116"/>
      <c r="D31" s="116"/>
      <c r="E31" s="116"/>
      <c r="F31" s="116"/>
      <c r="G31" s="116"/>
      <c r="H31" s="116"/>
      <c r="I31" s="118"/>
    </row>
    <row r="32" spans="1:9" x14ac:dyDescent="0.25">
      <c r="A32" s="119"/>
      <c r="B32" s="116"/>
      <c r="C32" s="116"/>
      <c r="D32" s="116"/>
      <c r="E32" s="116"/>
      <c r="F32" s="116"/>
      <c r="G32" s="116"/>
      <c r="H32" s="116"/>
      <c r="I32" s="118"/>
    </row>
    <row r="33" spans="1:10" x14ac:dyDescent="0.25">
      <c r="A33" s="119"/>
      <c r="B33" s="116"/>
      <c r="C33" s="116"/>
      <c r="D33" s="116"/>
      <c r="E33" s="116"/>
      <c r="F33" s="116"/>
      <c r="G33" s="116"/>
      <c r="H33" s="116"/>
      <c r="I33" s="118"/>
    </row>
    <row r="34" spans="1:10" x14ac:dyDescent="0.25">
      <c r="A34" s="119"/>
      <c r="B34" s="116"/>
      <c r="C34" s="116"/>
      <c r="D34" s="116"/>
      <c r="E34" s="116"/>
      <c r="F34" s="116"/>
      <c r="G34" s="116"/>
      <c r="H34" s="116"/>
      <c r="I34" s="118"/>
    </row>
    <row r="35" spans="1:10" x14ac:dyDescent="0.25">
      <c r="A35" s="119"/>
      <c r="B35" s="116"/>
      <c r="C35" s="116"/>
      <c r="D35" s="116"/>
      <c r="E35" s="116"/>
      <c r="F35" s="116"/>
      <c r="G35" s="116"/>
      <c r="H35" s="116"/>
      <c r="I35" s="118"/>
    </row>
    <row r="36" spans="1:10" x14ac:dyDescent="0.25">
      <c r="A36" s="119"/>
      <c r="B36" s="116"/>
      <c r="C36" s="116"/>
      <c r="D36" s="116"/>
      <c r="E36" s="116"/>
      <c r="F36" s="116"/>
      <c r="G36" s="116"/>
      <c r="H36" s="116"/>
      <c r="I36" s="118"/>
    </row>
    <row r="37" spans="1:10" x14ac:dyDescent="0.25">
      <c r="A37" s="119"/>
      <c r="B37" s="116"/>
      <c r="C37" s="116"/>
      <c r="D37" s="116"/>
      <c r="E37" s="116"/>
      <c r="F37" s="116"/>
      <c r="G37" s="116"/>
      <c r="H37" s="116"/>
      <c r="I37" s="118"/>
    </row>
    <row r="38" spans="1:10" x14ac:dyDescent="0.25">
      <c r="A38" s="119"/>
      <c r="B38" s="116"/>
      <c r="C38" s="116"/>
      <c r="D38" s="116"/>
      <c r="E38" s="116"/>
      <c r="F38" s="116"/>
      <c r="G38" s="116"/>
      <c r="H38" s="116"/>
      <c r="I38" s="118"/>
    </row>
    <row r="39" spans="1:10" x14ac:dyDescent="0.25">
      <c r="A39" s="119"/>
      <c r="B39" s="116"/>
      <c r="C39" s="116"/>
      <c r="D39" s="116"/>
      <c r="E39" s="116"/>
      <c r="F39" s="116"/>
      <c r="G39" s="116"/>
      <c r="H39" s="116"/>
      <c r="I39" s="118"/>
    </row>
    <row r="40" spans="1:10" x14ac:dyDescent="0.25">
      <c r="A40" s="119"/>
      <c r="B40" s="116"/>
      <c r="C40" s="116"/>
      <c r="D40" s="116"/>
      <c r="E40" s="116"/>
      <c r="F40" s="116"/>
      <c r="G40" s="116"/>
      <c r="H40" s="116"/>
      <c r="I40" s="118"/>
    </row>
    <row r="41" spans="1:10" ht="18" x14ac:dyDescent="0.35">
      <c r="A41" s="137" t="s">
        <v>123</v>
      </c>
      <c r="B41" s="116"/>
      <c r="C41" s="116"/>
      <c r="D41" s="116"/>
      <c r="E41" s="116"/>
      <c r="F41" s="116"/>
      <c r="G41" s="116"/>
      <c r="H41" s="116"/>
      <c r="I41" s="118"/>
    </row>
    <row r="42" spans="1:10" x14ac:dyDescent="0.25">
      <c r="A42" s="119"/>
      <c r="B42" s="116"/>
      <c r="C42" s="116"/>
      <c r="D42" s="116"/>
      <c r="E42" s="116"/>
      <c r="F42" s="116"/>
      <c r="G42" s="116"/>
      <c r="H42" s="116"/>
      <c r="I42" s="118"/>
    </row>
    <row r="43" spans="1:10" s="10" customFormat="1" x14ac:dyDescent="0.25">
      <c r="A43" s="119"/>
      <c r="B43" s="116"/>
      <c r="C43" s="116"/>
      <c r="D43" s="116"/>
      <c r="E43" s="116"/>
      <c r="F43" s="116"/>
      <c r="G43" s="116"/>
      <c r="H43" s="116"/>
      <c r="I43" s="118"/>
      <c r="J43" s="5"/>
    </row>
    <row r="44" spans="1:10" x14ac:dyDescent="0.25">
      <c r="A44" s="119"/>
      <c r="B44" s="116"/>
      <c r="C44" s="116"/>
      <c r="D44" s="116"/>
      <c r="E44" s="116"/>
      <c r="F44" s="116"/>
      <c r="G44" s="116"/>
      <c r="H44" s="116"/>
      <c r="I44" s="118"/>
    </row>
    <row r="45" spans="1:10" x14ac:dyDescent="0.25">
      <c r="A45" s="119"/>
      <c r="B45" s="116"/>
      <c r="C45" s="116"/>
      <c r="D45" s="116"/>
      <c r="E45" s="116"/>
      <c r="F45" s="116"/>
      <c r="G45" s="116"/>
      <c r="H45" s="116"/>
      <c r="I45" s="118"/>
    </row>
    <row r="46" spans="1:10" x14ac:dyDescent="0.25">
      <c r="A46" s="119"/>
      <c r="B46" s="116"/>
      <c r="C46" s="116"/>
      <c r="D46" s="116"/>
      <c r="E46" s="116"/>
      <c r="F46" s="116"/>
      <c r="G46" s="116"/>
      <c r="H46" s="116"/>
      <c r="I46" s="118"/>
    </row>
    <row r="47" spans="1:10" x14ac:dyDescent="0.25">
      <c r="A47" s="119"/>
      <c r="B47" s="116"/>
      <c r="C47" s="116"/>
      <c r="D47" s="116"/>
      <c r="E47" s="116"/>
      <c r="F47" s="116"/>
      <c r="G47" s="116"/>
      <c r="H47" s="116"/>
      <c r="I47" s="118"/>
    </row>
    <row r="48" spans="1:10" x14ac:dyDescent="0.25">
      <c r="A48" s="119"/>
      <c r="B48" s="116"/>
      <c r="C48" s="116"/>
      <c r="D48" s="116"/>
      <c r="E48" s="116"/>
      <c r="F48" s="116"/>
      <c r="G48" s="116"/>
      <c r="H48" s="116"/>
      <c r="I48" s="118"/>
    </row>
    <row r="49" spans="1:9" x14ac:dyDescent="0.25">
      <c r="A49" s="119"/>
      <c r="B49" s="116"/>
      <c r="C49" s="116"/>
      <c r="D49" s="116"/>
      <c r="E49" s="116"/>
      <c r="F49" s="116"/>
      <c r="G49" s="116"/>
      <c r="H49" s="116"/>
      <c r="I49" s="118"/>
    </row>
    <row r="50" spans="1:9" x14ac:dyDescent="0.25">
      <c r="A50" s="119"/>
      <c r="B50" s="116"/>
      <c r="C50" s="116"/>
      <c r="D50" s="116"/>
      <c r="E50" s="116"/>
      <c r="F50" s="116"/>
      <c r="G50" s="116"/>
      <c r="H50" s="116"/>
      <c r="I50" s="118"/>
    </row>
    <row r="51" spans="1:9" x14ac:dyDescent="0.25">
      <c r="A51" s="119"/>
      <c r="B51" s="116"/>
      <c r="C51" s="116"/>
      <c r="D51" s="116"/>
      <c r="E51" s="116"/>
      <c r="F51" s="116"/>
      <c r="G51" s="116"/>
      <c r="H51" s="116"/>
      <c r="I51" s="118"/>
    </row>
    <row r="52" spans="1:9" x14ac:dyDescent="0.25">
      <c r="A52" s="119"/>
      <c r="B52" s="116"/>
      <c r="C52" s="116"/>
      <c r="D52" s="116"/>
      <c r="E52" s="116"/>
      <c r="F52" s="116"/>
      <c r="G52" s="116"/>
      <c r="H52" s="116"/>
      <c r="I52" s="118"/>
    </row>
    <row r="53" spans="1:9" x14ac:dyDescent="0.25">
      <c r="A53" s="119"/>
      <c r="B53" s="116"/>
      <c r="C53" s="116"/>
      <c r="D53" s="116"/>
      <c r="E53" s="116"/>
      <c r="F53" s="116"/>
      <c r="G53" s="116"/>
      <c r="H53" s="116"/>
      <c r="I53" s="118"/>
    </row>
    <row r="54" spans="1:9" x14ac:dyDescent="0.25">
      <c r="A54" s="119"/>
      <c r="B54" s="116"/>
      <c r="C54" s="116"/>
      <c r="D54" s="116"/>
      <c r="E54" s="116"/>
      <c r="F54" s="116"/>
      <c r="G54" s="116"/>
      <c r="H54" s="116"/>
      <c r="I54" s="118"/>
    </row>
    <row r="55" spans="1:9" x14ac:dyDescent="0.25">
      <c r="A55" s="119"/>
      <c r="B55" s="116"/>
      <c r="C55" s="116"/>
      <c r="D55" s="116"/>
      <c r="E55" s="116"/>
      <c r="F55" s="116"/>
      <c r="G55" s="116"/>
      <c r="H55" s="116"/>
      <c r="I55" s="118"/>
    </row>
    <row r="56" spans="1:9" x14ac:dyDescent="0.25">
      <c r="A56" s="119"/>
      <c r="B56" s="116"/>
      <c r="C56" s="116"/>
      <c r="D56" s="116"/>
      <c r="E56" s="116"/>
      <c r="F56" s="116"/>
      <c r="G56" s="116"/>
      <c r="H56" s="116"/>
      <c r="I56" s="118"/>
    </row>
    <row r="57" spans="1:9" x14ac:dyDescent="0.25">
      <c r="A57" s="22"/>
      <c r="B57" s="138"/>
      <c r="C57" s="116"/>
      <c r="D57" s="116"/>
      <c r="E57" s="116"/>
      <c r="F57" s="116"/>
      <c r="G57" s="116"/>
      <c r="H57" s="116"/>
      <c r="I57" s="118"/>
    </row>
    <row r="58" spans="1:9" x14ac:dyDescent="0.25">
      <c r="A58" s="131" t="s">
        <v>114</v>
      </c>
      <c r="B58" s="138"/>
      <c r="C58" s="116"/>
      <c r="D58" s="116"/>
      <c r="E58" s="116"/>
      <c r="F58" s="116"/>
      <c r="G58" s="116"/>
      <c r="H58" s="116"/>
      <c r="I58" s="118"/>
    </row>
    <row r="59" spans="1:9" x14ac:dyDescent="0.25">
      <c r="A59" s="22"/>
      <c r="B59" s="116"/>
      <c r="C59" s="116"/>
      <c r="D59" s="116"/>
      <c r="E59" s="116"/>
      <c r="F59" s="139"/>
      <c r="G59" s="122"/>
      <c r="H59" s="116"/>
      <c r="I59" s="118"/>
    </row>
    <row r="60" spans="1:9" ht="15.75" x14ac:dyDescent="0.25">
      <c r="A60" s="22"/>
      <c r="B60" s="140" t="s">
        <v>47</v>
      </c>
      <c r="C60" s="116"/>
      <c r="D60" s="116"/>
      <c r="E60" s="116"/>
      <c r="F60" s="116"/>
      <c r="G60" s="116"/>
      <c r="H60" s="116"/>
      <c r="I60" s="118"/>
    </row>
    <row r="61" spans="1:9" x14ac:dyDescent="0.25">
      <c r="A61" s="22"/>
      <c r="B61" s="139" t="s">
        <v>67</v>
      </c>
      <c r="C61" s="122" t="s">
        <v>119</v>
      </c>
      <c r="D61" s="116"/>
      <c r="E61" s="116"/>
      <c r="F61" s="139" t="s">
        <v>44</v>
      </c>
      <c r="G61" s="122" t="s">
        <v>46</v>
      </c>
      <c r="H61" s="116"/>
      <c r="I61" s="118"/>
    </row>
    <row r="62" spans="1:9" ht="15.75" x14ac:dyDescent="0.25">
      <c r="A62" s="22"/>
      <c r="B62" s="141" t="s">
        <v>68</v>
      </c>
      <c r="C62" s="122" t="s">
        <v>118</v>
      </c>
      <c r="D62" s="116"/>
      <c r="E62" s="116"/>
      <c r="F62" s="139" t="s">
        <v>66</v>
      </c>
      <c r="G62" s="122" t="s">
        <v>64</v>
      </c>
      <c r="H62" s="116"/>
      <c r="I62" s="118"/>
    </row>
    <row r="63" spans="1:9" ht="15.75" x14ac:dyDescent="0.25">
      <c r="A63" s="22"/>
      <c r="B63" s="141" t="s">
        <v>69</v>
      </c>
      <c r="C63" s="122" t="s">
        <v>120</v>
      </c>
      <c r="D63" s="116"/>
      <c r="E63" s="116"/>
      <c r="F63" s="141" t="s">
        <v>75</v>
      </c>
      <c r="G63" s="122" t="s">
        <v>76</v>
      </c>
      <c r="H63" s="116"/>
      <c r="I63" s="118"/>
    </row>
    <row r="64" spans="1:9" x14ac:dyDescent="0.25">
      <c r="A64" s="22"/>
      <c r="B64" s="141" t="s">
        <v>95</v>
      </c>
      <c r="C64" s="122" t="s">
        <v>27</v>
      </c>
      <c r="D64" s="116"/>
      <c r="E64" s="116"/>
      <c r="F64" s="139" t="s">
        <v>30</v>
      </c>
      <c r="G64" s="122" t="s">
        <v>98</v>
      </c>
      <c r="H64" s="116"/>
      <c r="I64" s="118"/>
    </row>
    <row r="65" spans="1:9" ht="15.75" x14ac:dyDescent="0.25">
      <c r="A65" s="22"/>
      <c r="B65" s="141" t="s">
        <v>70</v>
      </c>
      <c r="C65" s="122" t="s">
        <v>28</v>
      </c>
      <c r="D65" s="116"/>
      <c r="E65" s="116"/>
      <c r="F65" s="139" t="s">
        <v>72</v>
      </c>
      <c r="G65" s="141" t="s">
        <v>73</v>
      </c>
      <c r="H65" s="116"/>
      <c r="I65" s="118"/>
    </row>
    <row r="66" spans="1:9" ht="15.75" x14ac:dyDescent="0.25">
      <c r="A66" s="22"/>
      <c r="B66" s="141" t="s">
        <v>71</v>
      </c>
      <c r="C66" s="122" t="s">
        <v>45</v>
      </c>
      <c r="D66" s="116"/>
      <c r="E66" s="116"/>
      <c r="F66" s="139" t="s">
        <v>31</v>
      </c>
      <c r="G66" s="122" t="s">
        <v>74</v>
      </c>
      <c r="H66" s="116"/>
      <c r="I66" s="118"/>
    </row>
    <row r="67" spans="1:9" ht="0.95" customHeight="1" x14ac:dyDescent="0.25">
      <c r="A67" s="22"/>
      <c r="B67" s="141" t="s">
        <v>60</v>
      </c>
      <c r="C67" s="122" t="s">
        <v>65</v>
      </c>
      <c r="D67" s="116"/>
      <c r="E67" s="116"/>
      <c r="F67" s="139" t="s">
        <v>96</v>
      </c>
      <c r="G67" s="141" t="s">
        <v>97</v>
      </c>
      <c r="H67" s="116"/>
      <c r="I67" s="118"/>
    </row>
    <row r="68" spans="1:9" x14ac:dyDescent="0.25">
      <c r="A68" s="23"/>
      <c r="B68" s="142"/>
      <c r="C68" s="142"/>
      <c r="D68" s="142"/>
      <c r="E68" s="142"/>
      <c r="F68" s="142"/>
      <c r="G68" s="142"/>
      <c r="H68" s="142"/>
      <c r="I68" s="136"/>
    </row>
    <row r="69" spans="1:9" ht="15.75" x14ac:dyDescent="0.25">
      <c r="A69" s="24"/>
      <c r="B69" s="143" t="s">
        <v>48</v>
      </c>
      <c r="C69" s="113"/>
      <c r="D69" s="113"/>
      <c r="E69" s="113"/>
      <c r="F69" s="113"/>
      <c r="G69" s="113"/>
      <c r="H69" s="113"/>
      <c r="I69" s="114"/>
    </row>
    <row r="70" spans="1:9" x14ac:dyDescent="0.25">
      <c r="A70" s="22"/>
      <c r="B70" s="116"/>
      <c r="C70" s="116"/>
      <c r="D70" s="116"/>
      <c r="E70" s="116"/>
      <c r="F70" s="116"/>
      <c r="G70" s="116"/>
      <c r="H70" s="116"/>
      <c r="I70" s="118"/>
    </row>
    <row r="71" spans="1:9" x14ac:dyDescent="0.25">
      <c r="A71" s="22"/>
      <c r="B71" s="144" t="s">
        <v>49</v>
      </c>
      <c r="C71" s="122"/>
      <c r="D71" s="116"/>
      <c r="E71" s="117"/>
      <c r="F71" s="116"/>
      <c r="G71" s="117"/>
      <c r="H71" s="116"/>
      <c r="I71" s="118"/>
    </row>
    <row r="72" spans="1:9" x14ac:dyDescent="0.25">
      <c r="A72" s="22"/>
      <c r="B72" s="139"/>
      <c r="C72" s="122"/>
      <c r="D72" s="116"/>
      <c r="E72" s="116"/>
      <c r="F72" s="116"/>
      <c r="G72" s="116"/>
      <c r="H72" s="116"/>
      <c r="I72" s="118"/>
    </row>
    <row r="73" spans="1:9" x14ac:dyDescent="0.25">
      <c r="A73" s="22"/>
      <c r="B73" s="145" t="s">
        <v>33</v>
      </c>
      <c r="C73" s="116"/>
      <c r="D73" s="116"/>
      <c r="E73" s="116"/>
      <c r="F73" s="116"/>
      <c r="G73" s="116"/>
      <c r="H73" s="116"/>
      <c r="I73" s="118"/>
    </row>
    <row r="74" spans="1:9" x14ac:dyDescent="0.25">
      <c r="A74" s="22"/>
      <c r="B74" s="146" t="s">
        <v>3</v>
      </c>
      <c r="C74" s="147"/>
      <c r="D74" s="148" t="s">
        <v>1</v>
      </c>
      <c r="E74" s="149">
        <v>1.65</v>
      </c>
      <c r="F74" s="150" t="s">
        <v>6</v>
      </c>
      <c r="G74" s="116"/>
      <c r="H74" s="116"/>
      <c r="I74" s="118"/>
    </row>
    <row r="75" spans="1:9" x14ac:dyDescent="0.25">
      <c r="A75" s="22"/>
      <c r="B75" s="151" t="s">
        <v>13</v>
      </c>
      <c r="C75" s="152"/>
      <c r="D75" s="153" t="s">
        <v>32</v>
      </c>
      <c r="E75" s="154">
        <v>0.05</v>
      </c>
      <c r="F75" s="155" t="s">
        <v>4</v>
      </c>
      <c r="G75" s="116"/>
      <c r="H75" s="116"/>
      <c r="I75" s="118"/>
    </row>
    <row r="76" spans="1:9" x14ac:dyDescent="0.25">
      <c r="A76" s="22"/>
      <c r="B76" s="139"/>
      <c r="C76" s="122"/>
      <c r="D76" s="116"/>
      <c r="E76" s="116"/>
      <c r="F76" s="116"/>
      <c r="G76" s="116"/>
      <c r="H76" s="116"/>
      <c r="I76" s="118"/>
    </row>
    <row r="77" spans="1:9" x14ac:dyDescent="0.25">
      <c r="A77" s="22"/>
      <c r="B77" s="139" t="s">
        <v>50</v>
      </c>
      <c r="C77" s="122"/>
      <c r="D77" s="116"/>
      <c r="E77" s="116"/>
      <c r="F77" s="116"/>
      <c r="G77" s="116"/>
      <c r="H77" s="116"/>
      <c r="I77" s="118"/>
    </row>
    <row r="78" spans="1:9" x14ac:dyDescent="0.25">
      <c r="A78" s="22"/>
      <c r="B78" s="139"/>
      <c r="C78" s="122"/>
      <c r="D78" s="116"/>
      <c r="E78" s="116"/>
      <c r="F78" s="116"/>
      <c r="G78" s="116"/>
      <c r="H78" s="116"/>
      <c r="I78" s="118"/>
    </row>
    <row r="79" spans="1:9" x14ac:dyDescent="0.25">
      <c r="A79" s="22"/>
      <c r="B79" s="139"/>
      <c r="C79" s="122"/>
      <c r="D79" s="116"/>
      <c r="E79" s="116"/>
      <c r="F79" s="116"/>
      <c r="G79" s="139"/>
      <c r="H79" s="116"/>
      <c r="I79" s="118"/>
    </row>
    <row r="80" spans="1:9" x14ac:dyDescent="0.25">
      <c r="A80" s="22"/>
      <c r="B80" s="139" t="s">
        <v>51</v>
      </c>
      <c r="C80" s="116"/>
      <c r="D80" s="116"/>
      <c r="E80" s="116"/>
      <c r="F80" s="116"/>
      <c r="G80" s="156" t="s">
        <v>87</v>
      </c>
      <c r="H80" s="116"/>
      <c r="I80" s="118"/>
    </row>
    <row r="81" spans="1:9" x14ac:dyDescent="0.25">
      <c r="A81" s="22"/>
      <c r="B81" s="139" t="s">
        <v>86</v>
      </c>
      <c r="C81" s="116"/>
      <c r="D81" s="116"/>
      <c r="E81" s="116"/>
      <c r="F81" s="116"/>
      <c r="G81" s="156" t="s">
        <v>88</v>
      </c>
      <c r="H81" s="116"/>
      <c r="I81" s="118"/>
    </row>
    <row r="82" spans="1:9" ht="13.5" customHeight="1" x14ac:dyDescent="0.25">
      <c r="A82" s="23"/>
      <c r="B82" s="142"/>
      <c r="C82" s="142"/>
      <c r="D82" s="142"/>
      <c r="E82" s="142"/>
      <c r="F82" s="142"/>
      <c r="G82" s="142"/>
      <c r="H82" s="142"/>
      <c r="I82" s="136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</sheetData>
  <sheetProtection password="E863" sheet="1" objects="1" scenarios="1" selectLockedCells="1"/>
  <customSheetViews>
    <customSheetView guid="{EDBC3D34-AE76-4315-8D9E-9D233B1D13BE}" showPageBreaks="1" view="pageBreakPreview" topLeftCell="B19">
      <selection activeCell="D6" sqref="D6"/>
    </customSheetView>
  </customSheetViews>
  <mergeCells count="4">
    <mergeCell ref="A1:I1"/>
    <mergeCell ref="A2:I2"/>
    <mergeCell ref="C5:D5"/>
    <mergeCell ref="C11:D11"/>
  </mergeCells>
  <dataValidations count="1">
    <dataValidation type="whole" allowBlank="1" showInputMessage="1" showErrorMessage="1" sqref="D12">
      <formula1>50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 xml:space="preserve">&amp;L&amp;"Arial,Normal"&amp;10
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6" r:id="rId4">
          <objectPr defaultSize="0" r:id="rId5">
            <anchor moveWithCells="1">
              <from>
                <xdr:col>3</xdr:col>
                <xdr:colOff>104775</xdr:colOff>
                <xdr:row>78</xdr:row>
                <xdr:rowOff>57150</xdr:rowOff>
              </from>
              <to>
                <xdr:col>5</xdr:col>
                <xdr:colOff>247650</xdr:colOff>
                <xdr:row>81</xdr:row>
                <xdr:rowOff>57150</xdr:rowOff>
              </to>
            </anchor>
          </objectPr>
        </oleObject>
      </mc:Choice>
      <mc:Fallback>
        <oleObject progId="Word.Document.12" shapeId="103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'AR-formler'!$V$18:$V$20</xm:f>
          </x14:formula1>
          <xm:sqref>C5 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J85"/>
  <sheetViews>
    <sheetView view="pageLayout" zoomScale="55" zoomScaleNormal="85" zoomScaleSheetLayoutView="100" zoomScalePageLayoutView="55" workbookViewId="0">
      <selection activeCell="D13" sqref="D13"/>
    </sheetView>
  </sheetViews>
  <sheetFormatPr baseColWidth="10" defaultRowHeight="15" x14ac:dyDescent="0.25"/>
  <cols>
    <col min="1" max="1" width="26.7109375" style="4" customWidth="1"/>
    <col min="2" max="2" width="26" style="4" customWidth="1"/>
    <col min="3" max="8" width="10.85546875" style="4" customWidth="1"/>
    <col min="9" max="9" width="26.7109375" style="4" customWidth="1"/>
    <col min="10" max="10" width="1.7109375" style="3" customWidth="1"/>
    <col min="11" max="16384" width="11.42578125" style="4"/>
  </cols>
  <sheetData>
    <row r="1" spans="1:9" ht="26.25" x14ac:dyDescent="0.25">
      <c r="A1" s="165" t="s">
        <v>113</v>
      </c>
      <c r="B1" s="166"/>
      <c r="C1" s="166"/>
      <c r="D1" s="166"/>
      <c r="E1" s="166"/>
      <c r="F1" s="166"/>
      <c r="G1" s="166"/>
      <c r="H1" s="166"/>
      <c r="I1" s="167"/>
    </row>
    <row r="2" spans="1:9" x14ac:dyDescent="0.25">
      <c r="A2" s="168" t="s">
        <v>124</v>
      </c>
      <c r="B2" s="169"/>
      <c r="C2" s="169"/>
      <c r="D2" s="169"/>
      <c r="E2" s="169"/>
      <c r="F2" s="169"/>
      <c r="G2" s="169"/>
      <c r="H2" s="169"/>
      <c r="I2" s="170"/>
    </row>
    <row r="3" spans="1:9" x14ac:dyDescent="0.2">
      <c r="A3" s="112"/>
      <c r="B3" s="113"/>
      <c r="C3" s="113"/>
      <c r="D3" s="113"/>
      <c r="E3" s="113"/>
      <c r="F3" s="113"/>
      <c r="G3" s="113"/>
      <c r="H3" s="113"/>
      <c r="I3" s="158" t="str">
        <f>"Versjon "&amp;Versjoner!C2&amp;" / "&amp;Versjoner!G2</f>
        <v>Versjon 1.0 / 2012-12-12</v>
      </c>
    </row>
    <row r="4" spans="1:9" ht="15" customHeight="1" x14ac:dyDescent="0.25">
      <c r="A4" s="115" t="s">
        <v>102</v>
      </c>
      <c r="B4" s="116"/>
      <c r="C4" s="116"/>
      <c r="D4" s="116"/>
      <c r="E4" s="116"/>
      <c r="F4" s="116"/>
      <c r="G4" s="117"/>
      <c r="H4" s="116"/>
      <c r="I4" s="118"/>
    </row>
    <row r="5" spans="1:9" ht="15" customHeight="1" x14ac:dyDescent="0.25">
      <c r="A5" s="119" t="s">
        <v>42</v>
      </c>
      <c r="B5" s="116"/>
      <c r="C5" s="171" t="s">
        <v>38</v>
      </c>
      <c r="D5" s="172"/>
      <c r="E5" s="116"/>
      <c r="F5" s="120" t="str">
        <f>IF('PR-formler'!$Q$27="Gyldig","",'PR-formler'!$Q$27)</f>
        <v/>
      </c>
      <c r="G5" s="116"/>
      <c r="H5" s="116"/>
      <c r="I5" s="118"/>
    </row>
    <row r="6" spans="1:9" ht="15" customHeight="1" x14ac:dyDescent="0.25">
      <c r="A6" s="119" t="s">
        <v>26</v>
      </c>
      <c r="B6" s="6"/>
      <c r="C6" s="121" t="s">
        <v>80</v>
      </c>
      <c r="D6" s="7">
        <v>50</v>
      </c>
      <c r="E6" s="122" t="s">
        <v>6</v>
      </c>
      <c r="F6" s="8" t="s">
        <v>104</v>
      </c>
      <c r="G6" s="116"/>
      <c r="H6" s="116"/>
      <c r="I6" s="118"/>
    </row>
    <row r="7" spans="1:9" ht="15" customHeight="1" x14ac:dyDescent="0.25">
      <c r="A7" s="119" t="s">
        <v>35</v>
      </c>
      <c r="B7" s="6"/>
      <c r="C7" s="121" t="s">
        <v>81</v>
      </c>
      <c r="D7" s="2">
        <v>-8</v>
      </c>
      <c r="E7" s="116" t="s">
        <v>89</v>
      </c>
      <c r="F7" s="8" t="s">
        <v>83</v>
      </c>
      <c r="G7" s="116"/>
      <c r="H7" s="116"/>
      <c r="I7" s="118"/>
    </row>
    <row r="8" spans="1:9" x14ac:dyDescent="0.25">
      <c r="A8" s="119"/>
      <c r="B8" s="116"/>
      <c r="C8" s="116"/>
      <c r="D8" s="116"/>
      <c r="E8" s="116"/>
      <c r="F8" s="116"/>
      <c r="G8" s="116"/>
      <c r="H8" s="116"/>
      <c r="I8" s="118"/>
    </row>
    <row r="9" spans="1:9" x14ac:dyDescent="0.25">
      <c r="A9" s="115" t="s">
        <v>126</v>
      </c>
      <c r="B9" s="116"/>
      <c r="C9" s="116"/>
      <c r="D9" s="116"/>
      <c r="E9" s="116"/>
      <c r="F9" s="116"/>
      <c r="G9" s="116"/>
      <c r="H9" s="116"/>
      <c r="I9" s="118"/>
    </row>
    <row r="10" spans="1:9" ht="15" customHeight="1" x14ac:dyDescent="0.25">
      <c r="A10" s="119" t="s">
        <v>125</v>
      </c>
      <c r="B10" s="6"/>
      <c r="C10" s="171" t="s">
        <v>38</v>
      </c>
      <c r="D10" s="172"/>
      <c r="E10" s="116"/>
      <c r="F10" s="120" t="str">
        <f>IF('PR-formler'!$Q$27="Gyldig","",'PR-formler'!$Q$27)</f>
        <v/>
      </c>
      <c r="G10" s="116"/>
      <c r="H10" s="116"/>
      <c r="I10" s="118"/>
    </row>
    <row r="11" spans="1:9" ht="15" customHeight="1" x14ac:dyDescent="0.25">
      <c r="A11" s="119" t="s">
        <v>100</v>
      </c>
      <c r="B11" s="6"/>
      <c r="C11" s="121" t="s">
        <v>77</v>
      </c>
      <c r="D11" s="7">
        <v>500</v>
      </c>
      <c r="E11" s="122" t="s">
        <v>6</v>
      </c>
      <c r="F11" s="8" t="s">
        <v>116</v>
      </c>
      <c r="G11" s="116"/>
      <c r="H11" s="116"/>
      <c r="I11" s="118"/>
    </row>
    <row r="12" spans="1:9" ht="15" customHeight="1" x14ac:dyDescent="0.25">
      <c r="A12" s="119" t="s">
        <v>61</v>
      </c>
      <c r="B12" s="116"/>
      <c r="C12" s="123" t="s">
        <v>79</v>
      </c>
      <c r="D12" s="2">
        <v>-3</v>
      </c>
      <c r="E12" s="116" t="s">
        <v>89</v>
      </c>
      <c r="F12" s="124" t="s">
        <v>117</v>
      </c>
      <c r="G12" s="116"/>
      <c r="H12" s="116"/>
      <c r="I12" s="118"/>
    </row>
    <row r="13" spans="1:9" ht="15" customHeight="1" x14ac:dyDescent="0.25">
      <c r="A13" s="119" t="s">
        <v>105</v>
      </c>
      <c r="B13" s="116"/>
      <c r="C13" s="121" t="s">
        <v>78</v>
      </c>
      <c r="D13" s="2">
        <v>-3</v>
      </c>
      <c r="E13" s="116" t="s">
        <v>89</v>
      </c>
      <c r="F13" s="8" t="s">
        <v>101</v>
      </c>
      <c r="G13" s="116"/>
      <c r="H13" s="116"/>
      <c r="I13" s="118"/>
    </row>
    <row r="14" spans="1:9" ht="15" customHeight="1" x14ac:dyDescent="0.25">
      <c r="A14" s="125" t="str">
        <f>IF($C$10&amp;$C$5='PR-formler'!$P$20,'PR-formler'!$U$20,"")</f>
        <v/>
      </c>
      <c r="B14" s="116"/>
      <c r="C14" s="126"/>
      <c r="D14" s="127"/>
      <c r="E14" s="116"/>
      <c r="F14" s="116"/>
      <c r="G14" s="116"/>
      <c r="H14" s="116"/>
      <c r="I14" s="118"/>
    </row>
    <row r="15" spans="1:9" ht="15" customHeight="1" x14ac:dyDescent="0.25">
      <c r="A15" s="115"/>
      <c r="B15" s="116"/>
      <c r="C15" s="128"/>
      <c r="D15" s="116"/>
      <c r="E15" s="116"/>
      <c r="F15" s="116"/>
      <c r="G15" s="116"/>
      <c r="H15" s="116"/>
      <c r="I15" s="118"/>
    </row>
    <row r="16" spans="1:9" ht="15" customHeight="1" x14ac:dyDescent="0.25">
      <c r="A16" s="129" t="s">
        <v>106</v>
      </c>
      <c r="B16" s="6"/>
      <c r="C16" s="121" t="s">
        <v>107</v>
      </c>
      <c r="D16" s="25">
        <f>IF($C$5='PR-formler'!$V$19,80,HLOOKUP(D6,'PR-formler'!Q9:AL12,4,TRUE))</f>
        <v>46</v>
      </c>
      <c r="E16" s="122" t="s">
        <v>5</v>
      </c>
      <c r="F16" s="8" t="s">
        <v>52</v>
      </c>
      <c r="G16" s="116"/>
      <c r="H16" s="116"/>
      <c r="I16" s="118"/>
    </row>
    <row r="17" spans="1:9" ht="15" customHeight="1" x14ac:dyDescent="0.25">
      <c r="A17" s="119" t="s">
        <v>109</v>
      </c>
      <c r="B17" s="6"/>
      <c r="C17" s="121" t="s">
        <v>63</v>
      </c>
      <c r="D17" s="25">
        <f>'PR-formler'!P35*100</f>
        <v>5</v>
      </c>
      <c r="E17" s="116" t="s">
        <v>89</v>
      </c>
      <c r="F17" s="8" t="s">
        <v>111</v>
      </c>
      <c r="G17" s="116"/>
      <c r="H17" s="116"/>
      <c r="I17" s="118"/>
    </row>
    <row r="18" spans="1:9" ht="15" customHeight="1" x14ac:dyDescent="0.25">
      <c r="A18" s="119" t="s">
        <v>110</v>
      </c>
      <c r="B18" s="116"/>
      <c r="C18" s="121" t="s">
        <v>82</v>
      </c>
      <c r="D18" s="25">
        <f>'PR-formler'!P36*100</f>
        <v>0</v>
      </c>
      <c r="E18" s="116" t="s">
        <v>89</v>
      </c>
      <c r="F18" s="130" t="s">
        <v>93</v>
      </c>
      <c r="G18" s="116"/>
      <c r="H18" s="116"/>
      <c r="I18" s="118"/>
    </row>
    <row r="19" spans="1:9" ht="15" customHeight="1" x14ac:dyDescent="0.25">
      <c r="A19" s="119"/>
      <c r="B19" s="116"/>
      <c r="C19" s="116"/>
      <c r="D19" s="116"/>
      <c r="E19" s="116"/>
      <c r="F19" s="116"/>
      <c r="G19" s="116"/>
      <c r="H19" s="116"/>
      <c r="I19" s="118"/>
    </row>
    <row r="20" spans="1:9" x14ac:dyDescent="0.25">
      <c r="A20" s="131" t="s">
        <v>130</v>
      </c>
      <c r="B20" s="132"/>
      <c r="C20" s="132"/>
      <c r="D20" s="132"/>
      <c r="E20" s="132"/>
      <c r="F20" s="132"/>
      <c r="G20" s="132"/>
      <c r="H20" s="132"/>
      <c r="I20" s="118"/>
    </row>
    <row r="21" spans="1:9" ht="16.5" x14ac:dyDescent="0.25">
      <c r="A21" s="11" t="s">
        <v>41</v>
      </c>
      <c r="B21" s="12"/>
      <c r="C21" s="12"/>
      <c r="D21" s="12"/>
      <c r="E21" s="12"/>
      <c r="F21" s="133" t="s">
        <v>127</v>
      </c>
      <c r="G21" s="13">
        <f>VLOOKUP($C$10&amp;$C$5,'PR-formler'!$P$17:$S$27,3,FALSE)</f>
        <v>21.083333333333332</v>
      </c>
      <c r="H21" s="14" t="s">
        <v>6</v>
      </c>
      <c r="I21" s="15"/>
    </row>
    <row r="22" spans="1:9" ht="16.5" x14ac:dyDescent="0.25">
      <c r="A22" s="11" t="s">
        <v>129</v>
      </c>
      <c r="B22" s="12"/>
      <c r="C22" s="12"/>
      <c r="D22" s="12"/>
      <c r="E22" s="12"/>
      <c r="F22" s="133" t="s">
        <v>131</v>
      </c>
      <c r="G22" s="13">
        <f>$E$74*$D$16*('PR-formler'!$P$32-'PR-formler'!$P$33)/(3.6*$E$75)</f>
        <v>0</v>
      </c>
      <c r="H22" s="16" t="s">
        <v>6</v>
      </c>
      <c r="I22" s="15"/>
    </row>
    <row r="23" spans="1:9" x14ac:dyDescent="0.25">
      <c r="A23" s="119"/>
      <c r="B23" s="132"/>
      <c r="C23" s="132"/>
      <c r="D23" s="132"/>
      <c r="E23" s="132"/>
      <c r="F23" s="132"/>
      <c r="G23" s="132"/>
      <c r="H23" s="132"/>
      <c r="I23" s="118"/>
    </row>
    <row r="24" spans="1:9" x14ac:dyDescent="0.25">
      <c r="A24" s="134" t="s">
        <v>46</v>
      </c>
      <c r="B24" s="135"/>
      <c r="C24" s="135"/>
      <c r="D24" s="135"/>
      <c r="E24" s="135"/>
      <c r="F24" s="135"/>
      <c r="G24" s="135"/>
      <c r="H24" s="135"/>
      <c r="I24" s="136"/>
    </row>
    <row r="25" spans="1:9" ht="16.5" x14ac:dyDescent="0.25">
      <c r="A25" s="17" t="s">
        <v>29</v>
      </c>
      <c r="B25" s="18"/>
      <c r="C25" s="18"/>
      <c r="D25" s="18"/>
      <c r="E25" s="18"/>
      <c r="F25" s="133" t="s">
        <v>128</v>
      </c>
      <c r="G25" s="19">
        <f>VLOOKUP($C$10&amp;$C$5,'PR-formler'!$P$17:$S$27,4,FALSE)</f>
        <v>34.224206291692084</v>
      </c>
      <c r="H25" s="20" t="s">
        <v>6</v>
      </c>
      <c r="I25" s="21"/>
    </row>
    <row r="26" spans="1:9" x14ac:dyDescent="0.25">
      <c r="A26" s="119"/>
      <c r="B26" s="116"/>
      <c r="C26" s="116"/>
      <c r="D26" s="116"/>
      <c r="E26" s="116"/>
      <c r="F26" s="116"/>
      <c r="G26" s="116"/>
      <c r="H26" s="116"/>
      <c r="I26" s="118"/>
    </row>
    <row r="27" spans="1:9" x14ac:dyDescent="0.25">
      <c r="A27" s="119"/>
      <c r="B27" s="116"/>
      <c r="C27" s="116"/>
      <c r="D27" s="116"/>
      <c r="E27" s="116"/>
      <c r="F27" s="116"/>
      <c r="G27" s="116"/>
      <c r="H27" s="116"/>
      <c r="I27" s="118"/>
    </row>
    <row r="28" spans="1:9" x14ac:dyDescent="0.25">
      <c r="A28" s="119"/>
      <c r="B28" s="116"/>
      <c r="C28" s="116"/>
      <c r="D28" s="116"/>
      <c r="E28" s="116"/>
      <c r="F28" s="116"/>
      <c r="G28" s="116"/>
      <c r="H28" s="116"/>
      <c r="I28" s="118"/>
    </row>
    <row r="29" spans="1:9" x14ac:dyDescent="0.25">
      <c r="A29" s="119"/>
      <c r="B29" s="116"/>
      <c r="C29" s="116"/>
      <c r="D29" s="116"/>
      <c r="E29" s="116"/>
      <c r="F29" s="116"/>
      <c r="G29" s="116"/>
      <c r="H29" s="116"/>
      <c r="I29" s="118"/>
    </row>
    <row r="30" spans="1:9" x14ac:dyDescent="0.25">
      <c r="A30" s="119"/>
      <c r="B30" s="116"/>
      <c r="C30" s="116"/>
      <c r="D30" s="116"/>
      <c r="E30" s="116"/>
      <c r="F30" s="116"/>
      <c r="G30" s="116"/>
      <c r="H30" s="116"/>
      <c r="I30" s="118"/>
    </row>
    <row r="31" spans="1:9" x14ac:dyDescent="0.25">
      <c r="A31" s="119"/>
      <c r="B31" s="116"/>
      <c r="C31" s="116"/>
      <c r="D31" s="116"/>
      <c r="E31" s="116"/>
      <c r="F31" s="116"/>
      <c r="G31" s="116"/>
      <c r="H31" s="116"/>
      <c r="I31" s="118"/>
    </row>
    <row r="32" spans="1:9" x14ac:dyDescent="0.25">
      <c r="A32" s="119"/>
      <c r="B32" s="116"/>
      <c r="C32" s="116"/>
      <c r="D32" s="116"/>
      <c r="E32" s="116"/>
      <c r="F32" s="116"/>
      <c r="G32" s="116"/>
      <c r="H32" s="116"/>
      <c r="I32" s="118"/>
    </row>
    <row r="33" spans="1:10" x14ac:dyDescent="0.25">
      <c r="A33" s="119"/>
      <c r="B33" s="116"/>
      <c r="C33" s="116"/>
      <c r="D33" s="116"/>
      <c r="E33" s="116"/>
      <c r="F33" s="116"/>
      <c r="G33" s="116"/>
      <c r="H33" s="116"/>
      <c r="I33" s="118"/>
    </row>
    <row r="34" spans="1:10" x14ac:dyDescent="0.25">
      <c r="A34" s="119"/>
      <c r="B34" s="116"/>
      <c r="C34" s="116"/>
      <c r="D34" s="116"/>
      <c r="E34" s="116"/>
      <c r="F34" s="116"/>
      <c r="G34" s="116"/>
      <c r="H34" s="116"/>
      <c r="I34" s="118"/>
    </row>
    <row r="35" spans="1:10" x14ac:dyDescent="0.25">
      <c r="A35" s="119"/>
      <c r="B35" s="116"/>
      <c r="C35" s="116"/>
      <c r="D35" s="116"/>
      <c r="E35" s="116"/>
      <c r="F35" s="116"/>
      <c r="G35" s="116"/>
      <c r="H35" s="116"/>
      <c r="I35" s="118"/>
    </row>
    <row r="36" spans="1:10" x14ac:dyDescent="0.25">
      <c r="A36" s="119"/>
      <c r="B36" s="116"/>
      <c r="C36" s="116"/>
      <c r="D36" s="116"/>
      <c r="E36" s="116"/>
      <c r="F36" s="116"/>
      <c r="G36" s="116"/>
      <c r="H36" s="116"/>
      <c r="I36" s="118"/>
    </row>
    <row r="37" spans="1:10" x14ac:dyDescent="0.25">
      <c r="A37" s="119"/>
      <c r="B37" s="116"/>
      <c r="C37" s="116"/>
      <c r="D37" s="116"/>
      <c r="E37" s="116"/>
      <c r="F37" s="116"/>
      <c r="G37" s="116"/>
      <c r="H37" s="116"/>
      <c r="I37" s="118"/>
    </row>
    <row r="38" spans="1:10" x14ac:dyDescent="0.25">
      <c r="A38" s="119"/>
      <c r="B38" s="116"/>
      <c r="C38" s="116"/>
      <c r="D38" s="116"/>
      <c r="E38" s="116"/>
      <c r="F38" s="116"/>
      <c r="G38" s="116"/>
      <c r="H38" s="116"/>
      <c r="I38" s="118"/>
    </row>
    <row r="39" spans="1:10" x14ac:dyDescent="0.25">
      <c r="A39" s="119"/>
      <c r="B39" s="116"/>
      <c r="C39" s="116"/>
      <c r="D39" s="116"/>
      <c r="E39" s="116"/>
      <c r="F39" s="116"/>
      <c r="G39" s="116"/>
      <c r="H39" s="116"/>
      <c r="I39" s="118"/>
    </row>
    <row r="40" spans="1:10" x14ac:dyDescent="0.25">
      <c r="A40" s="119"/>
      <c r="B40" s="116"/>
      <c r="C40" s="116"/>
      <c r="D40" s="116"/>
      <c r="E40" s="116"/>
      <c r="F40" s="116"/>
      <c r="G40" s="116"/>
      <c r="H40" s="116"/>
      <c r="I40" s="118"/>
    </row>
    <row r="41" spans="1:10" ht="18" x14ac:dyDescent="0.35">
      <c r="A41" s="137" t="s">
        <v>122</v>
      </c>
      <c r="B41" s="116"/>
      <c r="C41" s="116"/>
      <c r="D41" s="116"/>
      <c r="E41" s="116"/>
      <c r="F41" s="116"/>
      <c r="G41" s="116"/>
      <c r="H41" s="116"/>
      <c r="I41" s="118"/>
    </row>
    <row r="42" spans="1:10" x14ac:dyDescent="0.25">
      <c r="A42" s="119"/>
      <c r="B42" s="116"/>
      <c r="C42" s="116"/>
      <c r="D42" s="116"/>
      <c r="E42" s="116"/>
      <c r="F42" s="116"/>
      <c r="G42" s="116"/>
      <c r="H42" s="116"/>
      <c r="I42" s="118"/>
    </row>
    <row r="43" spans="1:10" s="10" customFormat="1" x14ac:dyDescent="0.25">
      <c r="A43" s="119"/>
      <c r="B43" s="116"/>
      <c r="C43" s="116"/>
      <c r="D43" s="116"/>
      <c r="E43" s="116"/>
      <c r="F43" s="116"/>
      <c r="G43" s="116"/>
      <c r="H43" s="116"/>
      <c r="I43" s="118"/>
      <c r="J43" s="5"/>
    </row>
    <row r="44" spans="1:10" x14ac:dyDescent="0.25">
      <c r="A44" s="119"/>
      <c r="B44" s="116"/>
      <c r="C44" s="116"/>
      <c r="D44" s="116"/>
      <c r="E44" s="116"/>
      <c r="F44" s="116"/>
      <c r="G44" s="116"/>
      <c r="H44" s="116"/>
      <c r="I44" s="118"/>
    </row>
    <row r="45" spans="1:10" x14ac:dyDescent="0.25">
      <c r="A45" s="119"/>
      <c r="B45" s="116"/>
      <c r="C45" s="116"/>
      <c r="D45" s="116"/>
      <c r="E45" s="116"/>
      <c r="F45" s="116"/>
      <c r="G45" s="116"/>
      <c r="H45" s="116"/>
      <c r="I45" s="118"/>
    </row>
    <row r="46" spans="1:10" x14ac:dyDescent="0.25">
      <c r="A46" s="119"/>
      <c r="B46" s="116"/>
      <c r="C46" s="116"/>
      <c r="D46" s="116"/>
      <c r="E46" s="116"/>
      <c r="F46" s="116"/>
      <c r="G46" s="116"/>
      <c r="H46" s="116"/>
      <c r="I46" s="118"/>
    </row>
    <row r="47" spans="1:10" x14ac:dyDescent="0.25">
      <c r="A47" s="119"/>
      <c r="B47" s="116"/>
      <c r="C47" s="116"/>
      <c r="D47" s="116"/>
      <c r="E47" s="116"/>
      <c r="F47" s="116"/>
      <c r="G47" s="116"/>
      <c r="H47" s="116"/>
      <c r="I47" s="118"/>
    </row>
    <row r="48" spans="1:10" x14ac:dyDescent="0.25">
      <c r="A48" s="119"/>
      <c r="B48" s="116"/>
      <c r="C48" s="116"/>
      <c r="D48" s="116"/>
      <c r="E48" s="116"/>
      <c r="F48" s="116"/>
      <c r="G48" s="116"/>
      <c r="H48" s="116"/>
      <c r="I48" s="118"/>
    </row>
    <row r="49" spans="1:9" x14ac:dyDescent="0.25">
      <c r="A49" s="119"/>
      <c r="B49" s="116"/>
      <c r="C49" s="116"/>
      <c r="D49" s="116"/>
      <c r="E49" s="116"/>
      <c r="F49" s="116"/>
      <c r="G49" s="116"/>
      <c r="H49" s="116"/>
      <c r="I49" s="118"/>
    </row>
    <row r="50" spans="1:9" x14ac:dyDescent="0.25">
      <c r="A50" s="119"/>
      <c r="B50" s="116"/>
      <c r="C50" s="116"/>
      <c r="D50" s="116"/>
      <c r="E50" s="116"/>
      <c r="F50" s="116"/>
      <c r="G50" s="116"/>
      <c r="H50" s="116"/>
      <c r="I50" s="118"/>
    </row>
    <row r="51" spans="1:9" x14ac:dyDescent="0.25">
      <c r="A51" s="119"/>
      <c r="B51" s="116"/>
      <c r="C51" s="116"/>
      <c r="D51" s="116"/>
      <c r="E51" s="116"/>
      <c r="F51" s="116"/>
      <c r="G51" s="116"/>
      <c r="H51" s="116"/>
      <c r="I51" s="118"/>
    </row>
    <row r="52" spans="1:9" x14ac:dyDescent="0.25">
      <c r="A52" s="119"/>
      <c r="B52" s="116"/>
      <c r="C52" s="116"/>
      <c r="D52" s="116"/>
      <c r="E52" s="116"/>
      <c r="F52" s="116"/>
      <c r="G52" s="116"/>
      <c r="H52" s="116"/>
      <c r="I52" s="118"/>
    </row>
    <row r="53" spans="1:9" x14ac:dyDescent="0.25">
      <c r="A53" s="119"/>
      <c r="B53" s="116"/>
      <c r="C53" s="116"/>
      <c r="D53" s="116"/>
      <c r="E53" s="116"/>
      <c r="F53" s="116"/>
      <c r="G53" s="116"/>
      <c r="H53" s="116"/>
      <c r="I53" s="118"/>
    </row>
    <row r="54" spans="1:9" x14ac:dyDescent="0.25">
      <c r="A54" s="119"/>
      <c r="B54" s="116"/>
      <c r="C54" s="116"/>
      <c r="D54" s="116"/>
      <c r="E54" s="116"/>
      <c r="F54" s="116"/>
      <c r="G54" s="116"/>
      <c r="H54" s="116"/>
      <c r="I54" s="118"/>
    </row>
    <row r="55" spans="1:9" x14ac:dyDescent="0.25">
      <c r="A55" s="119"/>
      <c r="B55" s="116"/>
      <c r="C55" s="116"/>
      <c r="D55" s="116"/>
      <c r="E55" s="116"/>
      <c r="F55" s="116"/>
      <c r="G55" s="116"/>
      <c r="H55" s="116"/>
      <c r="I55" s="118"/>
    </row>
    <row r="56" spans="1:9" x14ac:dyDescent="0.25">
      <c r="A56" s="119"/>
      <c r="B56" s="116"/>
      <c r="C56" s="116"/>
      <c r="D56" s="116"/>
      <c r="E56" s="116"/>
      <c r="F56" s="116"/>
      <c r="G56" s="116"/>
      <c r="H56" s="116"/>
      <c r="I56" s="118"/>
    </row>
    <row r="57" spans="1:9" x14ac:dyDescent="0.25">
      <c r="A57" s="22"/>
      <c r="B57" s="138"/>
      <c r="C57" s="116"/>
      <c r="D57" s="116"/>
      <c r="E57" s="116"/>
      <c r="F57" s="116"/>
      <c r="G57" s="116"/>
      <c r="H57" s="116"/>
      <c r="I57" s="118"/>
    </row>
    <row r="58" spans="1:9" x14ac:dyDescent="0.25">
      <c r="A58" s="131" t="s">
        <v>115</v>
      </c>
      <c r="B58" s="138"/>
      <c r="C58" s="116"/>
      <c r="D58" s="116"/>
      <c r="E58" s="116"/>
      <c r="F58" s="116"/>
      <c r="G58" s="116"/>
      <c r="H58" s="116"/>
      <c r="I58" s="118"/>
    </row>
    <row r="59" spans="1:9" x14ac:dyDescent="0.25">
      <c r="A59" s="22"/>
      <c r="B59" s="116"/>
      <c r="C59" s="116"/>
      <c r="D59" s="116"/>
      <c r="E59" s="116"/>
      <c r="F59" s="139"/>
      <c r="G59" s="122"/>
      <c r="H59" s="116"/>
      <c r="I59" s="118"/>
    </row>
    <row r="60" spans="1:9" ht="15.75" x14ac:dyDescent="0.25">
      <c r="A60" s="22"/>
      <c r="B60" s="140" t="s">
        <v>47</v>
      </c>
      <c r="C60" s="116"/>
      <c r="D60" s="116"/>
      <c r="E60" s="116"/>
      <c r="F60" s="116"/>
      <c r="G60" s="116"/>
      <c r="H60" s="116"/>
      <c r="I60" s="118"/>
    </row>
    <row r="61" spans="1:9" x14ac:dyDescent="0.25">
      <c r="A61" s="22"/>
      <c r="B61" s="139" t="s">
        <v>67</v>
      </c>
      <c r="C61" s="122" t="s">
        <v>94</v>
      </c>
      <c r="D61" s="116"/>
      <c r="E61" s="116"/>
      <c r="F61" s="139" t="s">
        <v>44</v>
      </c>
      <c r="G61" s="122" t="s">
        <v>46</v>
      </c>
      <c r="H61" s="116"/>
      <c r="I61" s="118"/>
    </row>
    <row r="62" spans="1:9" ht="15.75" x14ac:dyDescent="0.25">
      <c r="A62" s="22"/>
      <c r="B62" s="141" t="s">
        <v>68</v>
      </c>
      <c r="C62" s="122" t="s">
        <v>84</v>
      </c>
      <c r="D62" s="116"/>
      <c r="E62" s="116"/>
      <c r="F62" s="139" t="s">
        <v>66</v>
      </c>
      <c r="G62" s="122" t="s">
        <v>64</v>
      </c>
      <c r="H62" s="116"/>
      <c r="I62" s="118"/>
    </row>
    <row r="63" spans="1:9" ht="15.75" x14ac:dyDescent="0.25">
      <c r="A63" s="22"/>
      <c r="B63" s="141" t="s">
        <v>69</v>
      </c>
      <c r="C63" s="122" t="s">
        <v>85</v>
      </c>
      <c r="D63" s="116"/>
      <c r="E63" s="116"/>
      <c r="F63" s="141" t="s">
        <v>75</v>
      </c>
      <c r="G63" s="122" t="s">
        <v>121</v>
      </c>
      <c r="H63" s="116"/>
      <c r="I63" s="118"/>
    </row>
    <row r="64" spans="1:9" x14ac:dyDescent="0.25">
      <c r="A64" s="22"/>
      <c r="B64" s="141" t="s">
        <v>95</v>
      </c>
      <c r="C64" s="122" t="s">
        <v>27</v>
      </c>
      <c r="D64" s="116"/>
      <c r="E64" s="116"/>
      <c r="F64" s="139" t="s">
        <v>30</v>
      </c>
      <c r="G64" s="122" t="s">
        <v>98</v>
      </c>
      <c r="H64" s="116"/>
      <c r="I64" s="118"/>
    </row>
    <row r="65" spans="1:9" ht="15.75" x14ac:dyDescent="0.25">
      <c r="A65" s="22"/>
      <c r="B65" s="141" t="s">
        <v>70</v>
      </c>
      <c r="C65" s="122" t="s">
        <v>28</v>
      </c>
      <c r="D65" s="116"/>
      <c r="E65" s="116"/>
      <c r="F65" s="139" t="s">
        <v>72</v>
      </c>
      <c r="G65" s="141" t="s">
        <v>73</v>
      </c>
      <c r="H65" s="116"/>
      <c r="I65" s="118"/>
    </row>
    <row r="66" spans="1:9" ht="15.75" x14ac:dyDescent="0.25">
      <c r="A66" s="22"/>
      <c r="B66" s="141" t="s">
        <v>71</v>
      </c>
      <c r="C66" s="122" t="s">
        <v>45</v>
      </c>
      <c r="D66" s="116"/>
      <c r="E66" s="116"/>
      <c r="F66" s="139" t="s">
        <v>31</v>
      </c>
      <c r="G66" s="122" t="s">
        <v>74</v>
      </c>
      <c r="H66" s="116"/>
      <c r="I66" s="118"/>
    </row>
    <row r="67" spans="1:9" ht="0.95" customHeight="1" x14ac:dyDescent="0.25">
      <c r="A67" s="22"/>
      <c r="B67" s="141" t="s">
        <v>60</v>
      </c>
      <c r="C67" s="122" t="s">
        <v>65</v>
      </c>
      <c r="D67" s="116"/>
      <c r="E67" s="116"/>
      <c r="F67" s="139" t="s">
        <v>96</v>
      </c>
      <c r="G67" s="141" t="s">
        <v>97</v>
      </c>
      <c r="H67" s="116"/>
      <c r="I67" s="118"/>
    </row>
    <row r="68" spans="1:9" x14ac:dyDescent="0.25">
      <c r="A68" s="23"/>
      <c r="B68" s="142"/>
      <c r="C68" s="142"/>
      <c r="D68" s="142"/>
      <c r="E68" s="142"/>
      <c r="F68" s="142"/>
      <c r="G68" s="142"/>
      <c r="H68" s="142"/>
      <c r="I68" s="136"/>
    </row>
    <row r="69" spans="1:9" ht="15.75" x14ac:dyDescent="0.25">
      <c r="A69" s="24"/>
      <c r="B69" s="143" t="s">
        <v>48</v>
      </c>
      <c r="C69" s="113"/>
      <c r="D69" s="113"/>
      <c r="E69" s="113"/>
      <c r="F69" s="113"/>
      <c r="G69" s="113"/>
      <c r="H69" s="113"/>
      <c r="I69" s="114"/>
    </row>
    <row r="70" spans="1:9" x14ac:dyDescent="0.25">
      <c r="A70" s="22"/>
      <c r="B70" s="116"/>
      <c r="C70" s="116"/>
      <c r="D70" s="116"/>
      <c r="E70" s="116"/>
      <c r="F70" s="116"/>
      <c r="G70" s="116"/>
      <c r="H70" s="116"/>
      <c r="I70" s="118"/>
    </row>
    <row r="71" spans="1:9" x14ac:dyDescent="0.25">
      <c r="A71" s="22"/>
      <c r="B71" s="144" t="s">
        <v>49</v>
      </c>
      <c r="C71" s="122"/>
      <c r="D71" s="116"/>
      <c r="E71" s="117"/>
      <c r="F71" s="116"/>
      <c r="G71" s="117"/>
      <c r="H71" s="116"/>
      <c r="I71" s="118"/>
    </row>
    <row r="72" spans="1:9" x14ac:dyDescent="0.25">
      <c r="A72" s="22"/>
      <c r="B72" s="139"/>
      <c r="C72" s="122"/>
      <c r="D72" s="116"/>
      <c r="E72" s="116"/>
      <c r="F72" s="116"/>
      <c r="G72" s="116"/>
      <c r="H72" s="116"/>
      <c r="I72" s="118"/>
    </row>
    <row r="73" spans="1:9" x14ac:dyDescent="0.25">
      <c r="A73" s="22"/>
      <c r="B73" s="145" t="s">
        <v>33</v>
      </c>
      <c r="C73" s="116"/>
      <c r="D73" s="116"/>
      <c r="E73" s="116"/>
      <c r="F73" s="116"/>
      <c r="G73" s="116"/>
      <c r="H73" s="116"/>
      <c r="I73" s="118"/>
    </row>
    <row r="74" spans="1:9" x14ac:dyDescent="0.25">
      <c r="A74" s="22"/>
      <c r="B74" s="146" t="s">
        <v>3</v>
      </c>
      <c r="C74" s="147"/>
      <c r="D74" s="148" t="s">
        <v>1</v>
      </c>
      <c r="E74" s="149">
        <v>1.65</v>
      </c>
      <c r="F74" s="150" t="s">
        <v>6</v>
      </c>
      <c r="G74" s="116"/>
      <c r="H74" s="116"/>
      <c r="I74" s="118"/>
    </row>
    <row r="75" spans="1:9" x14ac:dyDescent="0.25">
      <c r="A75" s="22"/>
      <c r="B75" s="151" t="s">
        <v>13</v>
      </c>
      <c r="C75" s="152"/>
      <c r="D75" s="153" t="s">
        <v>32</v>
      </c>
      <c r="E75" s="154">
        <v>0.05</v>
      </c>
      <c r="F75" s="155" t="s">
        <v>4</v>
      </c>
      <c r="G75" s="116"/>
      <c r="H75" s="116"/>
      <c r="I75" s="118"/>
    </row>
    <row r="76" spans="1:9" x14ac:dyDescent="0.25">
      <c r="A76" s="22"/>
      <c r="B76" s="139"/>
      <c r="C76" s="122"/>
      <c r="D76" s="116"/>
      <c r="E76" s="116"/>
      <c r="F76" s="116"/>
      <c r="G76" s="116"/>
      <c r="H76" s="116"/>
      <c r="I76" s="118"/>
    </row>
    <row r="77" spans="1:9" x14ac:dyDescent="0.25">
      <c r="A77" s="22"/>
      <c r="B77" s="139" t="s">
        <v>50</v>
      </c>
      <c r="C77" s="122"/>
      <c r="D77" s="116"/>
      <c r="E77" s="116"/>
      <c r="F77" s="116"/>
      <c r="G77" s="116"/>
      <c r="H77" s="116"/>
      <c r="I77" s="118"/>
    </row>
    <row r="78" spans="1:9" x14ac:dyDescent="0.25">
      <c r="A78" s="22"/>
      <c r="B78" s="139"/>
      <c r="C78" s="122"/>
      <c r="D78" s="116"/>
      <c r="E78" s="116"/>
      <c r="F78" s="116"/>
      <c r="G78" s="116"/>
      <c r="H78" s="116"/>
      <c r="I78" s="118"/>
    </row>
    <row r="79" spans="1:9" x14ac:dyDescent="0.25">
      <c r="A79" s="22"/>
      <c r="B79" s="139"/>
      <c r="C79" s="122"/>
      <c r="D79" s="116"/>
      <c r="E79" s="116"/>
      <c r="F79" s="116"/>
      <c r="G79" s="139"/>
      <c r="H79" s="116"/>
      <c r="I79" s="118"/>
    </row>
    <row r="80" spans="1:9" x14ac:dyDescent="0.25">
      <c r="A80" s="22"/>
      <c r="B80" s="139" t="s">
        <v>51</v>
      </c>
      <c r="C80" s="116"/>
      <c r="D80" s="116"/>
      <c r="E80" s="116"/>
      <c r="F80" s="116"/>
      <c r="G80" s="156" t="s">
        <v>87</v>
      </c>
      <c r="H80" s="116"/>
      <c r="I80" s="118"/>
    </row>
    <row r="81" spans="1:9" x14ac:dyDescent="0.25">
      <c r="A81" s="22"/>
      <c r="B81" s="139" t="s">
        <v>86</v>
      </c>
      <c r="C81" s="116"/>
      <c r="D81" s="116"/>
      <c r="E81" s="116"/>
      <c r="F81" s="116"/>
      <c r="G81" s="156" t="s">
        <v>88</v>
      </c>
      <c r="H81" s="116"/>
      <c r="I81" s="118"/>
    </row>
    <row r="82" spans="1:9" x14ac:dyDescent="0.25">
      <c r="A82" s="23"/>
      <c r="B82" s="142"/>
      <c r="C82" s="142"/>
      <c r="D82" s="142"/>
      <c r="E82" s="142"/>
      <c r="F82" s="142"/>
      <c r="G82" s="142"/>
      <c r="H82" s="142"/>
      <c r="I82" s="136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</sheetData>
  <sheetProtection password="E863" sheet="1" objects="1" scenarios="1" selectLockedCells="1"/>
  <customSheetViews>
    <customSheetView guid="{EDBC3D34-AE76-4315-8D9E-9D233B1D13BE}" showPageBreaks="1" view="pageLayout" topLeftCell="B1">
      <selection activeCell="C5" sqref="C5:D5"/>
    </customSheetView>
  </customSheetViews>
  <mergeCells count="4">
    <mergeCell ref="A1:I1"/>
    <mergeCell ref="A2:I2"/>
    <mergeCell ref="C10:D10"/>
    <mergeCell ref="C5:D5"/>
  </mergeCells>
  <dataValidations disablePrompts="1" count="1">
    <dataValidation type="whole" allowBlank="1" showInputMessage="1" showErrorMessage="1" sqref="D6">
      <formula1>50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 xml:space="preserve">&amp;L&amp;"Arial,Normal"&amp;10
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3</xdr:col>
                <xdr:colOff>104775</xdr:colOff>
                <xdr:row>78</xdr:row>
                <xdr:rowOff>57150</xdr:rowOff>
              </from>
              <to>
                <xdr:col>5</xdr:col>
                <xdr:colOff>247650</xdr:colOff>
                <xdr:row>81</xdr:row>
                <xdr:rowOff>57150</xdr:rowOff>
              </to>
            </anchor>
          </objectPr>
        </oleObject>
      </mc:Choice>
      <mc:Fallback>
        <oleObject progId="Word.Document.12" shapeId="409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'AR-formler'!$V$18:$V$20</xm:f>
          </x14:formula1>
          <xm:sqref>C10 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2:AL43"/>
  <sheetViews>
    <sheetView zoomScale="85" zoomScaleNormal="85" workbookViewId="0">
      <selection activeCell="I41" sqref="I41"/>
    </sheetView>
  </sheetViews>
  <sheetFormatPr baseColWidth="10" defaultRowHeight="15" x14ac:dyDescent="0.25"/>
  <cols>
    <col min="1" max="1" width="11.42578125" style="26"/>
    <col min="2" max="2" width="19.28515625" style="26" customWidth="1"/>
    <col min="3" max="3" width="23.5703125" style="26" customWidth="1"/>
    <col min="4" max="4" width="11.42578125" style="26"/>
    <col min="5" max="5" width="4.42578125" style="26" customWidth="1"/>
    <col min="6" max="6" width="7.140625" style="26" customWidth="1"/>
    <col min="7" max="9" width="9.140625" style="26" customWidth="1"/>
    <col min="10" max="10" width="8.42578125" style="26" customWidth="1"/>
    <col min="11" max="11" width="7.42578125" style="26" customWidth="1"/>
    <col min="12" max="12" width="7.28515625" style="26" customWidth="1"/>
    <col min="13" max="15" width="5" style="26" bestFit="1" customWidth="1"/>
    <col min="16" max="16" width="13" style="26" bestFit="1" customWidth="1"/>
    <col min="17" max="29" width="6.7109375" style="28" customWidth="1"/>
    <col min="30" max="38" width="6.7109375" style="26" customWidth="1"/>
    <col min="39" max="40" width="5.7109375" style="26" customWidth="1"/>
    <col min="41" max="16384" width="11.42578125" style="26"/>
  </cols>
  <sheetData>
    <row r="2" spans="1:38" ht="23.25" x14ac:dyDescent="0.35">
      <c r="B2" s="27" t="s">
        <v>8</v>
      </c>
      <c r="C2" s="27"/>
    </row>
    <row r="3" spans="1:38" ht="15.75" thickBot="1" x14ac:dyDescent="0.3"/>
    <row r="4" spans="1:38" ht="18.75" x14ac:dyDescent="0.3">
      <c r="B4" s="29" t="s">
        <v>7</v>
      </c>
      <c r="C4" s="30" t="s">
        <v>5</v>
      </c>
      <c r="D4" s="31" t="s">
        <v>0</v>
      </c>
      <c r="E4" s="32" t="s">
        <v>2</v>
      </c>
      <c r="F4" s="33">
        <v>80</v>
      </c>
      <c r="G4" s="34"/>
    </row>
    <row r="5" spans="1:38" ht="20.25" x14ac:dyDescent="0.35">
      <c r="B5" s="35" t="s">
        <v>24</v>
      </c>
      <c r="C5" s="36" t="s">
        <v>6</v>
      </c>
      <c r="D5" s="37" t="s">
        <v>22</v>
      </c>
      <c r="E5" s="38" t="s">
        <v>2</v>
      </c>
      <c r="F5" s="39">
        <v>0</v>
      </c>
      <c r="G5" s="40"/>
    </row>
    <row r="6" spans="1:38" ht="21" thickBot="1" x14ac:dyDescent="0.4">
      <c r="B6" s="41" t="s">
        <v>25</v>
      </c>
      <c r="C6" s="42" t="s">
        <v>12</v>
      </c>
      <c r="D6" s="43" t="s">
        <v>23</v>
      </c>
      <c r="E6" s="44" t="s">
        <v>2</v>
      </c>
      <c r="F6" s="45">
        <v>0.08</v>
      </c>
      <c r="G6" s="46"/>
    </row>
    <row r="7" spans="1:38" ht="15.75" thickBot="1" x14ac:dyDescent="0.3">
      <c r="B7" s="47"/>
      <c r="C7" s="48"/>
      <c r="D7" s="49"/>
      <c r="E7" s="50"/>
      <c r="F7" s="47"/>
      <c r="G7" s="51"/>
    </row>
    <row r="8" spans="1:38" ht="24.75" thickBot="1" x14ac:dyDescent="0.5">
      <c r="B8" s="52" t="s">
        <v>19</v>
      </c>
      <c r="C8" s="53"/>
      <c r="D8" s="53" t="s">
        <v>20</v>
      </c>
      <c r="E8" s="54" t="s">
        <v>2</v>
      </c>
      <c r="F8" s="55">
        <f>F4*F4/(127*(F6+F5))</f>
        <v>629.9212598425197</v>
      </c>
      <c r="G8" s="56" t="s">
        <v>21</v>
      </c>
      <c r="P8" s="5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8" x14ac:dyDescent="0.25">
      <c r="P9" s="57" t="s">
        <v>26</v>
      </c>
      <c r="Q9" s="59">
        <v>50</v>
      </c>
      <c r="R9" s="60">
        <v>55</v>
      </c>
      <c r="S9" s="59">
        <v>60</v>
      </c>
      <c r="T9" s="60">
        <v>65</v>
      </c>
      <c r="U9" s="59">
        <v>70</v>
      </c>
      <c r="V9" s="60">
        <v>75</v>
      </c>
      <c r="W9" s="59">
        <v>80</v>
      </c>
      <c r="X9" s="60">
        <v>85</v>
      </c>
      <c r="Y9" s="59">
        <v>90</v>
      </c>
      <c r="Z9" s="60">
        <v>95</v>
      </c>
      <c r="AA9" s="59">
        <v>100</v>
      </c>
      <c r="AB9" s="60">
        <v>112.5</v>
      </c>
      <c r="AC9" s="59">
        <v>125</v>
      </c>
      <c r="AD9" s="60">
        <v>137.5</v>
      </c>
      <c r="AE9" s="59">
        <v>150</v>
      </c>
      <c r="AF9" s="60">
        <v>167.5</v>
      </c>
      <c r="AG9" s="59">
        <v>175</v>
      </c>
      <c r="AH9" s="60">
        <v>187.5</v>
      </c>
      <c r="AI9" s="59">
        <v>200</v>
      </c>
      <c r="AJ9" s="60">
        <v>212.5</v>
      </c>
      <c r="AK9" s="59">
        <v>225</v>
      </c>
      <c r="AL9" s="59">
        <v>250</v>
      </c>
    </row>
    <row r="10" spans="1:38" x14ac:dyDescent="0.25">
      <c r="P10" s="57" t="s">
        <v>34</v>
      </c>
      <c r="Q10" s="61">
        <v>0.25</v>
      </c>
      <c r="R10" s="61">
        <v>0.24</v>
      </c>
      <c r="S10" s="61">
        <v>0.24</v>
      </c>
      <c r="T10" s="61">
        <v>0.23</v>
      </c>
      <c r="U10" s="61">
        <v>0.23</v>
      </c>
      <c r="V10" s="61">
        <v>0.22</v>
      </c>
      <c r="W10" s="61">
        <v>0.22</v>
      </c>
      <c r="X10" s="61">
        <v>0.21</v>
      </c>
      <c r="Y10" s="61">
        <v>0.21</v>
      </c>
      <c r="Z10" s="61">
        <v>0.2</v>
      </c>
      <c r="AA10" s="61">
        <v>0.2</v>
      </c>
      <c r="AB10" s="61">
        <v>0.19</v>
      </c>
      <c r="AC10" s="61">
        <v>0.19</v>
      </c>
      <c r="AD10" s="61">
        <v>0.18</v>
      </c>
      <c r="AE10" s="61">
        <v>0.18</v>
      </c>
      <c r="AF10" s="61">
        <v>0.16</v>
      </c>
      <c r="AG10" s="61">
        <v>0.16</v>
      </c>
      <c r="AH10" s="61">
        <v>0.14000000000000001</v>
      </c>
      <c r="AI10" s="61">
        <v>0.14000000000000001</v>
      </c>
      <c r="AJ10" s="61">
        <v>0.12</v>
      </c>
      <c r="AK10" s="61">
        <v>0.12</v>
      </c>
      <c r="AL10" s="61">
        <v>0.12</v>
      </c>
    </row>
    <row r="11" spans="1:38" x14ac:dyDescent="0.25">
      <c r="P11" s="57" t="s">
        <v>35</v>
      </c>
      <c r="Q11" s="61">
        <v>0.08</v>
      </c>
      <c r="R11" s="61">
        <v>0.08</v>
      </c>
      <c r="S11" s="61">
        <v>0.08</v>
      </c>
      <c r="T11" s="61">
        <v>0.08</v>
      </c>
      <c r="U11" s="61">
        <v>0.08</v>
      </c>
      <c r="V11" s="61">
        <v>0.08</v>
      </c>
      <c r="W11" s="61">
        <v>0.08</v>
      </c>
      <c r="X11" s="61">
        <v>0.08</v>
      </c>
      <c r="Y11" s="61">
        <v>0.08</v>
      </c>
      <c r="Z11" s="61">
        <v>0.08</v>
      </c>
      <c r="AA11" s="61">
        <v>0.08</v>
      </c>
      <c r="AB11" s="61">
        <v>0.08</v>
      </c>
      <c r="AC11" s="61">
        <v>0.08</v>
      </c>
      <c r="AD11" s="61">
        <v>0.08</v>
      </c>
      <c r="AE11" s="61">
        <v>0.08</v>
      </c>
      <c r="AF11" s="61">
        <v>0.08</v>
      </c>
      <c r="AG11" s="61">
        <v>0.08</v>
      </c>
      <c r="AH11" s="61">
        <v>0.08</v>
      </c>
      <c r="AI11" s="61">
        <v>0.08</v>
      </c>
      <c r="AJ11" s="61">
        <v>0.08</v>
      </c>
      <c r="AK11" s="61">
        <v>0.08</v>
      </c>
      <c r="AL11" s="61">
        <v>0.08</v>
      </c>
    </row>
    <row r="12" spans="1:38" x14ac:dyDescent="0.25">
      <c r="P12" s="57" t="s">
        <v>36</v>
      </c>
      <c r="Q12" s="58">
        <v>46</v>
      </c>
      <c r="R12" s="58">
        <v>49</v>
      </c>
      <c r="S12" s="58">
        <v>49</v>
      </c>
      <c r="T12" s="58">
        <v>52</v>
      </c>
      <c r="U12" s="58">
        <v>52</v>
      </c>
      <c r="V12" s="58">
        <v>55</v>
      </c>
      <c r="W12" s="58">
        <v>55</v>
      </c>
      <c r="X12" s="58">
        <v>58</v>
      </c>
      <c r="Y12" s="58">
        <v>58</v>
      </c>
      <c r="Z12" s="58">
        <v>60</v>
      </c>
      <c r="AA12" s="58">
        <v>60</v>
      </c>
      <c r="AB12" s="58">
        <v>65</v>
      </c>
      <c r="AC12" s="58">
        <v>65</v>
      </c>
      <c r="AD12" s="58">
        <v>70</v>
      </c>
      <c r="AE12" s="58">
        <v>70</v>
      </c>
      <c r="AF12" s="58">
        <v>73</v>
      </c>
      <c r="AG12" s="58">
        <v>73</v>
      </c>
      <c r="AH12" s="58">
        <v>75</v>
      </c>
      <c r="AI12" s="58">
        <v>75</v>
      </c>
      <c r="AJ12" s="58">
        <v>76</v>
      </c>
      <c r="AK12" s="58">
        <v>76</v>
      </c>
      <c r="AL12" s="58">
        <v>80</v>
      </c>
    </row>
    <row r="13" spans="1:38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pans="1:38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38" x14ac:dyDescent="0.25">
      <c r="A15" s="62"/>
      <c r="B15" s="62"/>
      <c r="C15" s="62"/>
      <c r="D15" s="63" t="s">
        <v>11</v>
      </c>
      <c r="P15" s="64" t="s">
        <v>58</v>
      </c>
      <c r="Q15" s="65"/>
      <c r="R15" s="65"/>
      <c r="S15" s="65"/>
      <c r="T15" s="65"/>
      <c r="U15" s="65"/>
      <c r="V15" s="65"/>
      <c r="W15" s="66"/>
    </row>
    <row r="16" spans="1:38" ht="15.75" thickBot="1" x14ac:dyDescent="0.3">
      <c r="A16" s="62"/>
      <c r="B16" s="62"/>
      <c r="C16" s="62"/>
      <c r="P16" s="67"/>
      <c r="Q16" s="58"/>
      <c r="R16" s="58"/>
      <c r="S16" s="58"/>
      <c r="T16" s="26"/>
      <c r="U16" s="58"/>
      <c r="V16" s="58"/>
      <c r="W16" s="68"/>
    </row>
    <row r="17" spans="1:23" x14ac:dyDescent="0.25">
      <c r="A17" s="62"/>
      <c r="B17" s="62"/>
      <c r="C17" s="62"/>
      <c r="D17" s="69"/>
      <c r="E17" s="173" t="s">
        <v>9</v>
      </c>
      <c r="F17" s="174"/>
      <c r="G17" s="174"/>
      <c r="H17" s="174"/>
      <c r="I17" s="174"/>
      <c r="J17" s="174"/>
      <c r="K17" s="174"/>
      <c r="L17" s="174"/>
      <c r="P17" s="70" t="s">
        <v>53</v>
      </c>
      <c r="Q17" s="71" t="s">
        <v>56</v>
      </c>
      <c r="R17" s="62" t="s">
        <v>43</v>
      </c>
      <c r="S17" s="62" t="s">
        <v>44</v>
      </c>
      <c r="T17" s="72" t="s">
        <v>59</v>
      </c>
      <c r="U17" s="26" t="s">
        <v>62</v>
      </c>
      <c r="V17" s="73" t="s">
        <v>39</v>
      </c>
      <c r="W17" s="68"/>
    </row>
    <row r="18" spans="1:23" ht="15.75" thickBot="1" x14ac:dyDescent="0.3">
      <c r="A18" s="62"/>
      <c r="B18" s="62"/>
      <c r="C18" s="62"/>
      <c r="D18" s="74" t="s">
        <v>10</v>
      </c>
      <c r="E18" s="75">
        <v>30</v>
      </c>
      <c r="F18" s="75">
        <v>40</v>
      </c>
      <c r="G18" s="75">
        <v>50</v>
      </c>
      <c r="H18" s="75">
        <v>60</v>
      </c>
      <c r="I18" s="75">
        <v>70</v>
      </c>
      <c r="J18" s="75">
        <v>80</v>
      </c>
      <c r="K18" s="75">
        <v>90</v>
      </c>
      <c r="L18" s="75">
        <v>100</v>
      </c>
      <c r="P18" s="76" t="str">
        <f>V$18 &amp; V18</f>
        <v>VenstrekurveVenstrekurve</v>
      </c>
      <c r="Q18" s="77" t="str">
        <f>IF(Avkjøringsrampe!D12&gt;Avkjøringsrampe!D6,"Gyldig","Ikke gyldig kurvekombinasjon")</f>
        <v>Ikke gyldig kurvekombinasjon</v>
      </c>
      <c r="R18" s="78">
        <f>Avkjøringsrampe!$E$74*Avkjøringsrampe!$D$16*'AR-formler'!$P$35/(3.6*Avkjøringsrampe!$E$75)</f>
        <v>60.499999999999993</v>
      </c>
      <c r="S18" s="78" t="e">
        <f>SQRT($R$18*(1/((1/Avkjøringsrampe!$D$6)-(1/Avkjøringsrampe!$D$12))))</f>
        <v>#NUM!</v>
      </c>
      <c r="T18" s="62" t="str">
        <f>IF('AR-formler'!$P$36&lt;0,"Overhøyde på rampe må være mindre enn eller lik overhøyde primærveg","")</f>
        <v/>
      </c>
      <c r="U18" s="26"/>
      <c r="V18" s="57" t="s">
        <v>37</v>
      </c>
      <c r="W18" s="68"/>
    </row>
    <row r="19" spans="1:23" ht="15.75" thickBot="1" x14ac:dyDescent="0.3">
      <c r="A19" s="62"/>
      <c r="B19" s="62"/>
      <c r="C19" s="62"/>
      <c r="D19" s="79"/>
      <c r="E19" s="80"/>
      <c r="F19" s="81">
        <v>0.39</v>
      </c>
      <c r="G19" s="81">
        <v>0.39</v>
      </c>
      <c r="H19" s="81">
        <v>0.37</v>
      </c>
      <c r="I19" s="81">
        <v>0.37</v>
      </c>
      <c r="J19" s="81">
        <v>0.34</v>
      </c>
      <c r="K19" s="81">
        <v>0.3</v>
      </c>
      <c r="L19" s="81">
        <v>0.26</v>
      </c>
      <c r="P19" s="76" t="str">
        <f>V$18 &amp; V19</f>
        <v>VenstrekurveRettlinje</v>
      </c>
      <c r="Q19" s="77" t="s">
        <v>54</v>
      </c>
      <c r="R19" s="78">
        <f>Avkjøringsrampe!$E$74*Avkjøringsrampe!$D$16*'AR-formler'!$P$35/(3.6*Avkjøringsrampe!$E$75)</f>
        <v>60.499999999999993</v>
      </c>
      <c r="S19" s="78">
        <f>SQRT($R$23*Avkjøringsrampe!$D$6)</f>
        <v>205.79115627256675</v>
      </c>
      <c r="T19" s="62" t="str">
        <f>IF('AR-formler'!$P$36&lt;0,"Overhøyde på rampe må være mindre enn eller lik overhøyde primærveg","")</f>
        <v/>
      </c>
      <c r="U19" s="26"/>
      <c r="V19" s="57" t="s">
        <v>40</v>
      </c>
      <c r="W19" s="68"/>
    </row>
    <row r="20" spans="1:23" ht="15.75" thickBot="1" x14ac:dyDescent="0.3">
      <c r="A20" s="62"/>
      <c r="B20" s="62"/>
      <c r="C20" s="62"/>
      <c r="D20" s="82">
        <v>1</v>
      </c>
      <c r="E20" s="80"/>
      <c r="F20" s="80">
        <v>0.3</v>
      </c>
      <c r="G20" s="80">
        <v>0.27</v>
      </c>
      <c r="H20" s="80">
        <v>0.23</v>
      </c>
      <c r="I20" s="80">
        <v>0.22</v>
      </c>
      <c r="J20" s="80">
        <v>0.19</v>
      </c>
      <c r="K20" s="80">
        <v>0.16</v>
      </c>
      <c r="L20" s="80">
        <v>0.13</v>
      </c>
      <c r="P20" s="76" t="str">
        <f>V$18 &amp; V20</f>
        <v>VenstrekurveHøyrekurve</v>
      </c>
      <c r="Q20" s="77" t="s">
        <v>54</v>
      </c>
      <c r="R20" s="78">
        <f>(Avkjøringsrampe!$E$74*Avkjøringsrampe!$D$16*'AR-formler'!$P$35)/(3.6*Avkjøringsrampe!$E$75)</f>
        <v>60.499999999999993</v>
      </c>
      <c r="S20" s="78">
        <f>SQRT('AR-formler'!$R$20*(1/((1/Avkjøringsrampe!$D$12)+(1/Avkjøringsrampe!$D$6))))</f>
        <v>72.758161054276229</v>
      </c>
      <c r="T20" s="62" t="str">
        <f>IF('AR-formler'!$P$34&lt;0,IF('AR-formler'!$P$32&gt;0,"","Overhøyde rampe og primærveg må være motsatt rettet"),"Overhøyde rampe og primærveg må være motsatt rettet")</f>
        <v/>
      </c>
      <c r="U20" s="26" t="str">
        <f>IF('AR-formler'!$P$32-'AR-formler'!$P$33&gt;0.05,"OBS: Tverrfallsforskjellen mellom gjennomgående felt bør ikke være større enn 5 % (se håndbok 017)","")</f>
        <v/>
      </c>
      <c r="V20" s="57" t="s">
        <v>38</v>
      </c>
      <c r="W20" s="68"/>
    </row>
    <row r="21" spans="1:23" ht="15.75" thickBot="1" x14ac:dyDescent="0.3">
      <c r="A21" s="62"/>
      <c r="B21" s="62"/>
      <c r="C21" s="62"/>
      <c r="D21" s="83">
        <v>1.1000000000000001</v>
      </c>
      <c r="E21" s="84"/>
      <c r="F21" s="80">
        <v>0.27</v>
      </c>
      <c r="G21" s="80">
        <v>0.25</v>
      </c>
      <c r="H21" s="80">
        <v>0.21</v>
      </c>
      <c r="I21" s="80">
        <v>0.2</v>
      </c>
      <c r="J21" s="80">
        <v>0.17</v>
      </c>
      <c r="K21" s="80">
        <v>0.14000000000000001</v>
      </c>
      <c r="L21" s="80">
        <v>0.12</v>
      </c>
      <c r="P21" s="76" t="str">
        <f>V$19 &amp; V18</f>
        <v>RettlinjeVenstrekurve</v>
      </c>
      <c r="Q21" s="77" t="s">
        <v>55</v>
      </c>
      <c r="R21" s="85"/>
      <c r="S21" s="85"/>
      <c r="T21" s="62" t="str">
        <f>""</f>
        <v/>
      </c>
      <c r="U21" s="57"/>
      <c r="V21" s="58"/>
      <c r="W21" s="68"/>
    </row>
    <row r="22" spans="1:23" ht="15.75" thickBot="1" x14ac:dyDescent="0.3">
      <c r="A22" s="62"/>
      <c r="B22" s="62"/>
      <c r="C22" s="62"/>
      <c r="D22" s="86">
        <v>1.25</v>
      </c>
      <c r="E22" s="84"/>
      <c r="F22" s="80">
        <v>0.24</v>
      </c>
      <c r="G22" s="80">
        <v>0.22</v>
      </c>
      <c r="H22" s="80">
        <v>0.19</v>
      </c>
      <c r="I22" s="80">
        <v>0.17</v>
      </c>
      <c r="J22" s="80">
        <v>0.15</v>
      </c>
      <c r="K22" s="80">
        <v>0.12</v>
      </c>
      <c r="L22" s="80">
        <v>0.1</v>
      </c>
      <c r="P22" s="76" t="str">
        <f>V$19 &amp; V19</f>
        <v>RettlinjeRettlinje</v>
      </c>
      <c r="Q22" s="77" t="s">
        <v>55</v>
      </c>
      <c r="R22" s="85"/>
      <c r="S22" s="85"/>
      <c r="T22" s="62" t="str">
        <f>""</f>
        <v/>
      </c>
      <c r="U22" s="57"/>
      <c r="V22" s="58"/>
      <c r="W22" s="68"/>
    </row>
    <row r="23" spans="1:23" ht="15.75" thickBot="1" x14ac:dyDescent="0.3">
      <c r="A23" s="62"/>
      <c r="B23" s="62"/>
      <c r="C23" s="62"/>
      <c r="D23" s="87">
        <v>1.5</v>
      </c>
      <c r="E23" s="84"/>
      <c r="F23" s="80">
        <v>0.2</v>
      </c>
      <c r="G23" s="80">
        <v>0.18</v>
      </c>
      <c r="H23" s="80">
        <v>0.15</v>
      </c>
      <c r="I23" s="80">
        <v>0.15</v>
      </c>
      <c r="J23" s="80">
        <v>0.12</v>
      </c>
      <c r="K23" s="80">
        <v>0.1</v>
      </c>
      <c r="L23" s="80">
        <v>0.09</v>
      </c>
      <c r="P23" s="76" t="str">
        <f>V$19 &amp; V20</f>
        <v>RettlinjeHøyrekurve</v>
      </c>
      <c r="Q23" s="77" t="s">
        <v>54</v>
      </c>
      <c r="R23" s="78">
        <f>Avkjøringsrampe!$E$74*Avkjøringsrampe!$D$16*'AR-formler'!$P$35/(3.6*Avkjøringsrampe!$E$75)</f>
        <v>60.499999999999993</v>
      </c>
      <c r="S23" s="78">
        <f>SQRT($R$23*(1/((1/Avkjøringsrampe!$D$12))))</f>
        <v>77.781745930520216</v>
      </c>
      <c r="T23" s="62" t="str">
        <f>IF('AR-formler'!$P$36&lt;0,"Overhøyde på rampe må være større enn eller lik overhøyde primærveg","")</f>
        <v/>
      </c>
      <c r="U23" s="57"/>
      <c r="V23" s="58"/>
      <c r="W23" s="68"/>
    </row>
    <row r="24" spans="1:23" ht="15.75" thickBot="1" x14ac:dyDescent="0.3">
      <c r="A24" s="62"/>
      <c r="B24" s="62"/>
      <c r="C24" s="62"/>
      <c r="D24" s="87">
        <v>1.75</v>
      </c>
      <c r="E24" s="84"/>
      <c r="F24" s="80">
        <v>0.17</v>
      </c>
      <c r="G24" s="80">
        <v>0.15</v>
      </c>
      <c r="H24" s="80">
        <v>0.13</v>
      </c>
      <c r="I24" s="80">
        <v>0.12</v>
      </c>
      <c r="J24" s="80">
        <v>0.11</v>
      </c>
      <c r="K24" s="80">
        <v>0.09</v>
      </c>
      <c r="L24" s="80">
        <v>7.0000000000000007E-2</v>
      </c>
      <c r="P24" s="76" t="str">
        <f>V$20 &amp; V18</f>
        <v>HøyrekurveVenstrekurve</v>
      </c>
      <c r="Q24" s="77" t="s">
        <v>55</v>
      </c>
      <c r="R24" s="85"/>
      <c r="S24" s="85"/>
      <c r="T24" s="62" t="str">
        <f>""</f>
        <v/>
      </c>
      <c r="U24" s="57"/>
      <c r="V24" s="58"/>
      <c r="W24" s="68"/>
    </row>
    <row r="25" spans="1:23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P25" s="76" t="str">
        <f>V$20 &amp; V19</f>
        <v>HøyrekurveRettlinje</v>
      </c>
      <c r="Q25" s="77" t="s">
        <v>55</v>
      </c>
      <c r="R25" s="85"/>
      <c r="S25" s="85"/>
      <c r="T25" s="62" t="str">
        <f>""</f>
        <v/>
      </c>
      <c r="U25" s="57"/>
      <c r="V25" s="58"/>
      <c r="W25" s="68"/>
    </row>
    <row r="26" spans="1:23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P26" s="76" t="str">
        <f>V$20 &amp; V20</f>
        <v>HøyrekurveHøyrekurve</v>
      </c>
      <c r="Q26" s="62" t="str">
        <f>IF(Avkjøringsrampe!D12&lt;Avkjøringsrampe!D6,"Gyldig","Ikke gyldig kurvekombinasjon")</f>
        <v>Gyldig</v>
      </c>
      <c r="R26" s="78">
        <f>Avkjøringsrampe!$E$74*Avkjøringsrampe!$D$16*'AR-formler'!$P$35/(3.6*Avkjøringsrampe!$E$75)</f>
        <v>60.499999999999993</v>
      </c>
      <c r="S26" s="78">
        <f>SQRT($R$26*(1/((1/Avkjøringsrampe!$D$12)-(1/Avkjøringsrampe!$D$6))))</f>
        <v>84.013887740857058</v>
      </c>
      <c r="T26" s="62" t="str">
        <f>IF('AR-formler'!$P$36&lt;0,"Overhøyde på rampe må være større enn eller lik overhøyde primærveg","")</f>
        <v/>
      </c>
      <c r="U26" s="57"/>
      <c r="V26" s="58"/>
      <c r="W26" s="68"/>
    </row>
    <row r="27" spans="1:23" ht="15.75" thickBot="1" x14ac:dyDescent="0.3">
      <c r="A27" s="62"/>
      <c r="B27" s="71"/>
      <c r="C27" s="88"/>
      <c r="D27" s="89"/>
      <c r="E27" s="62"/>
      <c r="F27" s="62"/>
      <c r="G27" s="62"/>
      <c r="H27" s="62"/>
      <c r="I27" s="62"/>
      <c r="J27" s="62"/>
      <c r="P27" s="90" t="s">
        <v>57</v>
      </c>
      <c r="Q27" s="91" t="str">
        <f>VLOOKUP(Avkjøringsrampe!$C$5&amp;Avkjøringsrampe!$C$11,$P$17:$Q$26,2,FALSE)</f>
        <v>Gyldig</v>
      </c>
      <c r="R27" s="92">
        <f>VLOOKUP(Avkjøringsrampe!$C$5&amp;Avkjøringsrampe!$C$11,$P$17:$U$26,3,FALSE)</f>
        <v>60.499999999999993</v>
      </c>
      <c r="S27" s="92">
        <f>VLOOKUP(Avkjøringsrampe!$C$5&amp;Avkjøringsrampe!$C$11,$P$17:$U$26,4,FALSE)</f>
        <v>72.758161054276229</v>
      </c>
      <c r="T27" s="92" t="str">
        <f>VLOOKUP(Avkjøringsrampe!$C$5&amp;Avkjøringsrampe!$C$11,$P$17:$U$26,5,FALSE)</f>
        <v/>
      </c>
      <c r="U27" s="57"/>
      <c r="V27" s="58"/>
      <c r="W27" s="68"/>
    </row>
    <row r="28" spans="1:23" ht="15.75" thickTop="1" x14ac:dyDescent="0.25">
      <c r="H28" s="62"/>
      <c r="I28" s="62"/>
      <c r="J28" s="62"/>
      <c r="P28" s="67"/>
      <c r="Q28" s="58"/>
      <c r="R28" s="58"/>
      <c r="S28" s="58"/>
      <c r="T28" s="58"/>
      <c r="U28" s="58"/>
      <c r="V28" s="58"/>
      <c r="W28" s="68"/>
    </row>
    <row r="29" spans="1:23" ht="21" x14ac:dyDescent="0.35">
      <c r="A29" s="93" t="s">
        <v>15</v>
      </c>
      <c r="H29" s="62"/>
      <c r="I29" s="62"/>
      <c r="J29" s="62"/>
      <c r="P29" s="94"/>
      <c r="Q29" s="95"/>
      <c r="R29" s="95"/>
      <c r="S29" s="95"/>
      <c r="T29" s="95"/>
      <c r="U29" s="95"/>
      <c r="V29" s="95"/>
      <c r="W29" s="96"/>
    </row>
    <row r="30" spans="1:23" x14ac:dyDescent="0.25">
      <c r="A30" s="97" t="s">
        <v>16</v>
      </c>
      <c r="B30" s="98"/>
      <c r="C30" s="98"/>
      <c r="D30" s="98"/>
      <c r="E30" s="98"/>
      <c r="F30" s="99"/>
      <c r="H30" s="62"/>
      <c r="I30" s="62"/>
      <c r="J30" s="62"/>
    </row>
    <row r="31" spans="1:23" ht="15.75" x14ac:dyDescent="0.25">
      <c r="A31" s="100"/>
      <c r="B31" s="57"/>
      <c r="C31" s="57"/>
      <c r="D31" s="57"/>
      <c r="E31" s="57"/>
      <c r="F31" s="101"/>
      <c r="H31" s="88"/>
      <c r="I31" s="89"/>
      <c r="J31" s="62"/>
      <c r="Q31" s="78"/>
    </row>
    <row r="32" spans="1:23" x14ac:dyDescent="0.25">
      <c r="A32" s="67"/>
      <c r="B32" s="57"/>
      <c r="C32" s="57"/>
      <c r="D32" s="57"/>
      <c r="E32" s="57"/>
      <c r="F32" s="101"/>
      <c r="G32" s="102"/>
      <c r="H32" s="62"/>
      <c r="I32" s="62"/>
      <c r="J32" s="62"/>
      <c r="P32" s="103">
        <f>Avkjøringsrampe!D7/100</f>
        <v>0.08</v>
      </c>
      <c r="Q32" s="26" t="s">
        <v>90</v>
      </c>
    </row>
    <row r="33" spans="1:19" x14ac:dyDescent="0.25">
      <c r="A33" s="67"/>
      <c r="B33" s="57"/>
      <c r="C33" s="57"/>
      <c r="D33" s="57"/>
      <c r="E33" s="57"/>
      <c r="F33" s="101"/>
      <c r="H33" s="62"/>
      <c r="I33" s="62"/>
      <c r="J33" s="62"/>
      <c r="P33" s="103">
        <f>Avkjøringsrampe!D8/100</f>
        <v>0.03</v>
      </c>
      <c r="Q33" s="26" t="s">
        <v>91</v>
      </c>
    </row>
    <row r="34" spans="1:19" ht="18" x14ac:dyDescent="0.35">
      <c r="A34" s="67" t="s">
        <v>17</v>
      </c>
      <c r="B34" s="57"/>
      <c r="C34" s="57"/>
      <c r="D34" s="57"/>
      <c r="E34" s="57"/>
      <c r="F34" s="101"/>
      <c r="H34" s="62"/>
      <c r="I34" s="62"/>
      <c r="J34" s="62"/>
      <c r="P34" s="103">
        <f>Avkjøringsrampe!D13/100</f>
        <v>-0.08</v>
      </c>
      <c r="Q34" s="26" t="s">
        <v>92</v>
      </c>
      <c r="S34" s="58"/>
    </row>
    <row r="35" spans="1:19" ht="18" x14ac:dyDescent="0.35">
      <c r="A35" s="94"/>
      <c r="B35" s="104" t="s">
        <v>14</v>
      </c>
      <c r="C35" s="104"/>
      <c r="D35" s="104"/>
      <c r="E35" s="104"/>
      <c r="F35" s="105"/>
      <c r="H35" s="62"/>
      <c r="I35" s="62"/>
      <c r="J35" s="62"/>
      <c r="P35" s="1">
        <f>('AR-formler'!$P$33-'AR-formler'!$P$34)</f>
        <v>0.11</v>
      </c>
      <c r="Q35" s="26" t="s">
        <v>63</v>
      </c>
      <c r="R35" s="58"/>
      <c r="S35" s="58"/>
    </row>
    <row r="36" spans="1:19" ht="18" x14ac:dyDescent="0.35">
      <c r="A36" s="62"/>
      <c r="B36" s="62"/>
      <c r="C36" s="62"/>
      <c r="D36" s="62"/>
      <c r="E36" s="62"/>
      <c r="F36" s="62"/>
      <c r="G36" s="62"/>
      <c r="H36" s="62"/>
      <c r="I36" s="62"/>
      <c r="J36" s="62"/>
      <c r="P36" s="1">
        <f>('AR-formler'!P32-'AR-formler'!P33)</f>
        <v>0.05</v>
      </c>
      <c r="Q36" s="26" t="s">
        <v>82</v>
      </c>
    </row>
    <row r="37" spans="1:19" x14ac:dyDescent="0.25">
      <c r="A37" s="106" t="s">
        <v>18</v>
      </c>
      <c r="B37" s="107"/>
      <c r="C37" s="62"/>
      <c r="D37" s="62"/>
      <c r="E37" s="62"/>
      <c r="F37" s="62"/>
      <c r="G37" s="62"/>
    </row>
    <row r="38" spans="1:19" x14ac:dyDescent="0.25">
      <c r="A38" s="108"/>
      <c r="B38" s="109"/>
      <c r="C38" s="62"/>
      <c r="D38" s="62"/>
      <c r="E38" s="62"/>
      <c r="F38" s="62"/>
      <c r="G38" s="62"/>
    </row>
    <row r="39" spans="1:19" x14ac:dyDescent="0.25">
      <c r="A39" s="108"/>
      <c r="B39" s="109"/>
      <c r="C39" s="62"/>
      <c r="D39" s="62"/>
      <c r="E39" s="62"/>
      <c r="F39" s="62"/>
      <c r="G39" s="62"/>
    </row>
    <row r="40" spans="1:19" x14ac:dyDescent="0.25">
      <c r="A40" s="110"/>
      <c r="B40" s="111"/>
      <c r="C40" s="62"/>
      <c r="D40" s="62"/>
      <c r="E40" s="62"/>
      <c r="F40" s="62"/>
      <c r="G40" s="62"/>
    </row>
    <row r="41" spans="1:19" x14ac:dyDescent="0.25">
      <c r="A41" s="62"/>
      <c r="B41" s="62"/>
      <c r="C41" s="62"/>
      <c r="D41" s="62"/>
      <c r="E41" s="62"/>
      <c r="F41" s="62"/>
      <c r="G41" s="62"/>
    </row>
    <row r="42" spans="1:19" x14ac:dyDescent="0.25">
      <c r="A42" s="62"/>
      <c r="B42" s="62"/>
      <c r="C42" s="62"/>
      <c r="D42" s="62"/>
      <c r="E42" s="62"/>
      <c r="F42" s="62"/>
      <c r="G42" s="62"/>
    </row>
    <row r="43" spans="1:19" x14ac:dyDescent="0.25">
      <c r="A43" s="62"/>
      <c r="B43" s="62"/>
      <c r="C43" s="62"/>
      <c r="D43" s="62"/>
      <c r="E43" s="62"/>
      <c r="F43" s="62"/>
      <c r="G43" s="62"/>
    </row>
  </sheetData>
  <sheetProtection password="E863" sheet="1" objects="1" scenarios="1"/>
  <customSheetViews>
    <customSheetView guid="{EDBC3D34-AE76-4315-8D9E-9D233B1D13BE}" scale="85" state="hidden">
      <selection activeCell="I41" sqref="I41"/>
    </customSheetView>
  </customSheetViews>
  <mergeCells count="1">
    <mergeCell ref="E17:L17"/>
  </mergeCells>
  <dataValidations disablePrompts="1" count="2">
    <dataValidation type="decimal" allowBlank="1" showInputMessage="1" showErrorMessage="1" sqref="P34">
      <formula1>-0.15</formula1>
      <formula2>0.15</formula2>
    </dataValidation>
    <dataValidation type="decimal" allowBlank="1" showInputMessage="1" showErrorMessage="1" sqref="P32:P33">
      <formula1>-0.1</formula1>
      <formula2>0.1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2:AL43"/>
  <sheetViews>
    <sheetView topLeftCell="E1" zoomScale="85" zoomScaleNormal="85" workbookViewId="0">
      <selection activeCell="L40" sqref="L40"/>
    </sheetView>
  </sheetViews>
  <sheetFormatPr baseColWidth="10" defaultRowHeight="15" x14ac:dyDescent="0.25"/>
  <cols>
    <col min="1" max="1" width="11.42578125" style="26"/>
    <col min="2" max="2" width="19.28515625" style="26" customWidth="1"/>
    <col min="3" max="3" width="23.5703125" style="26" customWidth="1"/>
    <col min="4" max="4" width="11.42578125" style="26"/>
    <col min="5" max="5" width="4.42578125" style="26" customWidth="1"/>
    <col min="6" max="6" width="7.140625" style="26" customWidth="1"/>
    <col min="7" max="9" width="9.140625" style="26" customWidth="1"/>
    <col min="10" max="10" width="8.42578125" style="26" customWidth="1"/>
    <col min="11" max="11" width="7.42578125" style="26" customWidth="1"/>
    <col min="12" max="12" width="7.28515625" style="26" customWidth="1"/>
    <col min="13" max="15" width="5" style="26" bestFit="1" customWidth="1"/>
    <col min="16" max="16" width="13" style="26" bestFit="1" customWidth="1"/>
    <col min="17" max="29" width="6.7109375" style="28" customWidth="1"/>
    <col min="30" max="38" width="6.7109375" style="26" customWidth="1"/>
    <col min="39" max="49" width="5.7109375" style="26" customWidth="1"/>
    <col min="50" max="16384" width="11.42578125" style="26"/>
  </cols>
  <sheetData>
    <row r="2" spans="1:38" ht="23.25" x14ac:dyDescent="0.35">
      <c r="B2" s="27" t="s">
        <v>8</v>
      </c>
      <c r="C2" s="27"/>
    </row>
    <row r="3" spans="1:38" ht="15.75" thickBot="1" x14ac:dyDescent="0.3"/>
    <row r="4" spans="1:38" ht="18.75" x14ac:dyDescent="0.3">
      <c r="B4" s="29" t="s">
        <v>7</v>
      </c>
      <c r="C4" s="30" t="s">
        <v>5</v>
      </c>
      <c r="D4" s="31" t="s">
        <v>0</v>
      </c>
      <c r="E4" s="32" t="s">
        <v>2</v>
      </c>
      <c r="F4" s="33">
        <v>80</v>
      </c>
      <c r="G4" s="34"/>
    </row>
    <row r="5" spans="1:38" ht="20.25" x14ac:dyDescent="0.35">
      <c r="B5" s="35" t="s">
        <v>24</v>
      </c>
      <c r="C5" s="36" t="s">
        <v>6</v>
      </c>
      <c r="D5" s="37" t="s">
        <v>22</v>
      </c>
      <c r="E5" s="38" t="s">
        <v>2</v>
      </c>
      <c r="F5" s="39">
        <v>0</v>
      </c>
      <c r="G5" s="40"/>
    </row>
    <row r="6" spans="1:38" ht="21" thickBot="1" x14ac:dyDescent="0.4">
      <c r="B6" s="41" t="s">
        <v>25</v>
      </c>
      <c r="C6" s="42" t="s">
        <v>12</v>
      </c>
      <c r="D6" s="43" t="s">
        <v>23</v>
      </c>
      <c r="E6" s="44" t="s">
        <v>2</v>
      </c>
      <c r="F6" s="45">
        <v>0.08</v>
      </c>
      <c r="G6" s="46"/>
    </row>
    <row r="7" spans="1:38" ht="15.75" thickBot="1" x14ac:dyDescent="0.3">
      <c r="B7" s="47"/>
      <c r="C7" s="48"/>
      <c r="D7" s="49"/>
      <c r="E7" s="50"/>
      <c r="F7" s="47"/>
      <c r="G7" s="51"/>
    </row>
    <row r="8" spans="1:38" ht="24.75" thickBot="1" x14ac:dyDescent="0.5">
      <c r="B8" s="52" t="s">
        <v>19</v>
      </c>
      <c r="C8" s="53"/>
      <c r="D8" s="53" t="s">
        <v>20</v>
      </c>
      <c r="E8" s="54" t="s">
        <v>2</v>
      </c>
      <c r="F8" s="55">
        <f>F4*F4/(127*(F6+F5))</f>
        <v>629.9212598425197</v>
      </c>
      <c r="G8" s="56" t="s">
        <v>21</v>
      </c>
      <c r="P8" s="5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38" x14ac:dyDescent="0.25">
      <c r="P9" s="57" t="s">
        <v>26</v>
      </c>
      <c r="Q9" s="59">
        <v>50</v>
      </c>
      <c r="R9" s="60">
        <v>55</v>
      </c>
      <c r="S9" s="59">
        <v>60</v>
      </c>
      <c r="T9" s="60">
        <v>65</v>
      </c>
      <c r="U9" s="59">
        <v>70</v>
      </c>
      <c r="V9" s="60">
        <v>75</v>
      </c>
      <c r="W9" s="59">
        <v>80</v>
      </c>
      <c r="X9" s="60">
        <v>85</v>
      </c>
      <c r="Y9" s="59">
        <v>90</v>
      </c>
      <c r="Z9" s="60">
        <v>95</v>
      </c>
      <c r="AA9" s="59">
        <v>100</v>
      </c>
      <c r="AB9" s="60">
        <v>112.5</v>
      </c>
      <c r="AC9" s="59">
        <v>125</v>
      </c>
      <c r="AD9" s="60">
        <v>137.5</v>
      </c>
      <c r="AE9" s="59">
        <v>150</v>
      </c>
      <c r="AF9" s="60">
        <v>167.5</v>
      </c>
      <c r="AG9" s="59">
        <v>175</v>
      </c>
      <c r="AH9" s="60">
        <v>187.5</v>
      </c>
      <c r="AI9" s="59">
        <v>200</v>
      </c>
      <c r="AJ9" s="60">
        <v>212.5</v>
      </c>
      <c r="AK9" s="59">
        <v>225</v>
      </c>
      <c r="AL9" s="59">
        <v>250</v>
      </c>
    </row>
    <row r="10" spans="1:38" x14ac:dyDescent="0.25">
      <c r="P10" s="57" t="s">
        <v>34</v>
      </c>
      <c r="Q10" s="61">
        <v>0.25</v>
      </c>
      <c r="R10" s="61">
        <v>0.24</v>
      </c>
      <c r="S10" s="61">
        <v>0.24</v>
      </c>
      <c r="T10" s="61">
        <v>0.23</v>
      </c>
      <c r="U10" s="61">
        <v>0.23</v>
      </c>
      <c r="V10" s="61">
        <v>0.22</v>
      </c>
      <c r="W10" s="61">
        <v>0.22</v>
      </c>
      <c r="X10" s="61">
        <v>0.21</v>
      </c>
      <c r="Y10" s="61">
        <v>0.21</v>
      </c>
      <c r="Z10" s="61">
        <v>0.2</v>
      </c>
      <c r="AA10" s="61">
        <v>0.2</v>
      </c>
      <c r="AB10" s="61">
        <v>0.19</v>
      </c>
      <c r="AC10" s="61">
        <v>0.19</v>
      </c>
      <c r="AD10" s="61">
        <v>0.18</v>
      </c>
      <c r="AE10" s="61">
        <v>0.18</v>
      </c>
      <c r="AF10" s="61">
        <v>0.16</v>
      </c>
      <c r="AG10" s="61">
        <v>0.16</v>
      </c>
      <c r="AH10" s="61">
        <v>0.14000000000000001</v>
      </c>
      <c r="AI10" s="61">
        <v>0.14000000000000001</v>
      </c>
      <c r="AJ10" s="61">
        <v>0.12</v>
      </c>
      <c r="AK10" s="61">
        <v>0.12</v>
      </c>
      <c r="AL10" s="61">
        <v>0.12</v>
      </c>
    </row>
    <row r="11" spans="1:38" x14ac:dyDescent="0.25">
      <c r="P11" s="57" t="s">
        <v>35</v>
      </c>
      <c r="Q11" s="61">
        <v>0.08</v>
      </c>
      <c r="R11" s="61">
        <v>0.08</v>
      </c>
      <c r="S11" s="61">
        <v>0.08</v>
      </c>
      <c r="T11" s="61">
        <v>0.08</v>
      </c>
      <c r="U11" s="61">
        <v>0.08</v>
      </c>
      <c r="V11" s="61">
        <v>0.08</v>
      </c>
      <c r="W11" s="61">
        <v>0.08</v>
      </c>
      <c r="X11" s="61">
        <v>0.08</v>
      </c>
      <c r="Y11" s="61">
        <v>0.08</v>
      </c>
      <c r="Z11" s="61">
        <v>0.08</v>
      </c>
      <c r="AA11" s="61">
        <v>0.08</v>
      </c>
      <c r="AB11" s="61">
        <v>0.08</v>
      </c>
      <c r="AC11" s="61">
        <v>0.08</v>
      </c>
      <c r="AD11" s="61">
        <v>0.08</v>
      </c>
      <c r="AE11" s="61">
        <v>0.08</v>
      </c>
      <c r="AF11" s="61">
        <v>0.08</v>
      </c>
      <c r="AG11" s="61">
        <v>0.08</v>
      </c>
      <c r="AH11" s="61">
        <v>0.08</v>
      </c>
      <c r="AI11" s="61">
        <v>0.08</v>
      </c>
      <c r="AJ11" s="61">
        <v>0.08</v>
      </c>
      <c r="AK11" s="61">
        <v>0.08</v>
      </c>
      <c r="AL11" s="61">
        <v>0.08</v>
      </c>
    </row>
    <row r="12" spans="1:38" x14ac:dyDescent="0.25">
      <c r="P12" s="57" t="s">
        <v>36</v>
      </c>
      <c r="Q12" s="58">
        <v>46</v>
      </c>
      <c r="R12" s="58">
        <v>49</v>
      </c>
      <c r="S12" s="58">
        <v>49</v>
      </c>
      <c r="T12" s="58">
        <v>52</v>
      </c>
      <c r="U12" s="58">
        <v>52</v>
      </c>
      <c r="V12" s="58">
        <v>55</v>
      </c>
      <c r="W12" s="58">
        <v>55</v>
      </c>
      <c r="X12" s="58">
        <v>58</v>
      </c>
      <c r="Y12" s="58">
        <v>58</v>
      </c>
      <c r="Z12" s="58">
        <v>60</v>
      </c>
      <c r="AA12" s="58">
        <v>60</v>
      </c>
      <c r="AB12" s="58">
        <v>65</v>
      </c>
      <c r="AC12" s="58">
        <v>65</v>
      </c>
      <c r="AD12" s="58">
        <v>70</v>
      </c>
      <c r="AE12" s="58">
        <v>70</v>
      </c>
      <c r="AF12" s="58">
        <v>73</v>
      </c>
      <c r="AG12" s="58">
        <v>73</v>
      </c>
      <c r="AH12" s="58">
        <v>75</v>
      </c>
      <c r="AI12" s="58">
        <v>75</v>
      </c>
      <c r="AJ12" s="58">
        <v>76</v>
      </c>
      <c r="AK12" s="58">
        <v>76</v>
      </c>
      <c r="AL12" s="58">
        <v>80</v>
      </c>
    </row>
    <row r="13" spans="1:38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pans="1:38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38" x14ac:dyDescent="0.25">
      <c r="A15" s="62"/>
      <c r="B15" s="62"/>
      <c r="C15" s="62"/>
      <c r="D15" s="63" t="s">
        <v>11</v>
      </c>
      <c r="P15" s="64" t="s">
        <v>58</v>
      </c>
      <c r="Q15" s="65"/>
      <c r="R15" s="65"/>
      <c r="S15" s="65"/>
      <c r="T15" s="65"/>
      <c r="U15" s="65"/>
      <c r="V15" s="65"/>
      <c r="W15" s="66"/>
    </row>
    <row r="16" spans="1:38" ht="15.75" thickBot="1" x14ac:dyDescent="0.3">
      <c r="A16" s="62"/>
      <c r="B16" s="62"/>
      <c r="C16" s="62"/>
      <c r="P16" s="67"/>
      <c r="Q16" s="58"/>
      <c r="R16" s="58"/>
      <c r="S16" s="58"/>
      <c r="T16" s="26"/>
      <c r="U16" s="58"/>
      <c r="V16" s="58"/>
      <c r="W16" s="68"/>
    </row>
    <row r="17" spans="1:23" x14ac:dyDescent="0.25">
      <c r="A17" s="62"/>
      <c r="B17" s="62"/>
      <c r="C17" s="62"/>
      <c r="D17" s="69"/>
      <c r="E17" s="173" t="s">
        <v>9</v>
      </c>
      <c r="F17" s="174"/>
      <c r="G17" s="174"/>
      <c r="H17" s="174"/>
      <c r="I17" s="174"/>
      <c r="J17" s="174"/>
      <c r="K17" s="174"/>
      <c r="L17" s="174"/>
      <c r="P17" s="70" t="s">
        <v>53</v>
      </c>
      <c r="Q17" s="71" t="s">
        <v>56</v>
      </c>
      <c r="R17" s="62" t="s">
        <v>43</v>
      </c>
      <c r="S17" s="62" t="s">
        <v>44</v>
      </c>
      <c r="T17" s="72" t="s">
        <v>59</v>
      </c>
      <c r="U17" s="26" t="s">
        <v>62</v>
      </c>
      <c r="V17" s="73" t="s">
        <v>39</v>
      </c>
      <c r="W17" s="68"/>
    </row>
    <row r="18" spans="1:23" ht="15.75" thickBot="1" x14ac:dyDescent="0.3">
      <c r="A18" s="62"/>
      <c r="B18" s="62"/>
      <c r="C18" s="62"/>
      <c r="D18" s="74" t="s">
        <v>10</v>
      </c>
      <c r="E18" s="75">
        <v>30</v>
      </c>
      <c r="F18" s="75">
        <v>40</v>
      </c>
      <c r="G18" s="75">
        <v>50</v>
      </c>
      <c r="H18" s="75">
        <v>60</v>
      </c>
      <c r="I18" s="75">
        <v>70</v>
      </c>
      <c r="J18" s="75">
        <v>80</v>
      </c>
      <c r="K18" s="75">
        <v>90</v>
      </c>
      <c r="L18" s="75">
        <v>100</v>
      </c>
      <c r="P18" s="76" t="str">
        <f>V$18 &amp; V18</f>
        <v>VenstrekurveVenstrekurve</v>
      </c>
      <c r="Q18" s="77" t="str">
        <f>IF(Påkjøringsrampe!D6&gt;Påkjøringsrampe!D11,"Gyldig","Ikke gyldig kurvekombinasjon")</f>
        <v>Ikke gyldig kurvekombinasjon</v>
      </c>
      <c r="R18" s="78">
        <f>Påkjøringsrampe!$E$74*Påkjøringsrampe!$D$16*'PR-formler'!$P$35/(3.6*Påkjøringsrampe!$E$75)</f>
        <v>21.083333333333332</v>
      </c>
      <c r="S18" s="78" t="e">
        <f>SQRT($R$18*(1/((1/Påkjøringsrampe!$D$11)-(1/Påkjøringsrampe!$D$6))))</f>
        <v>#NUM!</v>
      </c>
      <c r="T18" s="62" t="str">
        <f>IF('PR-formler'!$P$36&lt;0,"Overhøyde på rampe må være mindre enn eller lik overhøyde primærveg","")</f>
        <v/>
      </c>
      <c r="U18" s="26"/>
      <c r="V18" s="57" t="s">
        <v>37</v>
      </c>
      <c r="W18" s="68"/>
    </row>
    <row r="19" spans="1:23" ht="15.75" thickBot="1" x14ac:dyDescent="0.3">
      <c r="A19" s="62"/>
      <c r="B19" s="62"/>
      <c r="C19" s="62"/>
      <c r="D19" s="79"/>
      <c r="E19" s="80"/>
      <c r="F19" s="81">
        <v>0.39</v>
      </c>
      <c r="G19" s="81">
        <v>0.39</v>
      </c>
      <c r="H19" s="81">
        <v>0.37</v>
      </c>
      <c r="I19" s="81">
        <v>0.37</v>
      </c>
      <c r="J19" s="81">
        <v>0.34</v>
      </c>
      <c r="K19" s="81">
        <v>0.3</v>
      </c>
      <c r="L19" s="81">
        <v>0.26</v>
      </c>
      <c r="P19" s="76" t="str">
        <f>V$18 &amp; V19</f>
        <v>VenstrekurveRettlinje</v>
      </c>
      <c r="Q19" s="77" t="s">
        <v>54</v>
      </c>
      <c r="R19" s="78">
        <f>Påkjøringsrampe!$E$74*Påkjøringsrampe!$D$16*'PR-formler'!$P$35/(3.6*Påkjøringsrampe!$E$75)</f>
        <v>21.083333333333332</v>
      </c>
      <c r="S19" s="78">
        <f>SQRT($R$23*Påkjøringsrampe!$D$11)</f>
        <v>102.67261887507627</v>
      </c>
      <c r="T19" s="62" t="str">
        <f>IF('PR-formler'!$P$36&lt;0,"Overhøyde på rampe må være mindre enn eller lik overhøyde primærveg","")</f>
        <v/>
      </c>
      <c r="U19" s="26"/>
      <c r="V19" s="57" t="s">
        <v>40</v>
      </c>
      <c r="W19" s="68"/>
    </row>
    <row r="20" spans="1:23" ht="15.75" thickBot="1" x14ac:dyDescent="0.3">
      <c r="A20" s="62"/>
      <c r="B20" s="62"/>
      <c r="C20" s="62"/>
      <c r="D20" s="82">
        <v>1</v>
      </c>
      <c r="E20" s="80"/>
      <c r="F20" s="80">
        <v>0.3</v>
      </c>
      <c r="G20" s="80">
        <v>0.27</v>
      </c>
      <c r="H20" s="80">
        <v>0.23</v>
      </c>
      <c r="I20" s="80">
        <v>0.22</v>
      </c>
      <c r="J20" s="80">
        <v>0.19</v>
      </c>
      <c r="K20" s="80">
        <v>0.16</v>
      </c>
      <c r="L20" s="80">
        <v>0.13</v>
      </c>
      <c r="P20" s="76" t="str">
        <f>V$18 &amp; V20</f>
        <v>VenstrekurveHøyrekurve</v>
      </c>
      <c r="Q20" s="77" t="s">
        <v>54</v>
      </c>
      <c r="R20" s="78">
        <f>(Påkjøringsrampe!$E$74*Påkjøringsrampe!$D$16*'PR-formler'!$P$35)/(3.6*Påkjøringsrampe!$E$75)</f>
        <v>21.083333333333332</v>
      </c>
      <c r="S20" s="78">
        <f>SQRT('PR-formler'!$R$20*(1/((1/Påkjøringsrampe!$D$6)+(1/Påkjøringsrampe!$D$11))))</f>
        <v>30.956959368344517</v>
      </c>
      <c r="T20" s="62" t="str">
        <f>IF('PR-formler'!$P$34&lt;0,IF('PR-formler'!$P$32&gt;0,"","Overhøyde rampe og primærveg må være motsatt rettet"),"Overhøyde rampe og primærveg må være motsatt rettet")</f>
        <v>Overhøyde rampe og primærveg må være motsatt rettet</v>
      </c>
      <c r="U20" s="26" t="str">
        <f>IF('PR-formler'!$P$32-'PR-formler'!$P$33&gt;0.05,"OBS: Tverrfallsforskjellen mellom gjennomgående felt bør ikke være større enn 5 % (se håndbok 017)","")</f>
        <v/>
      </c>
      <c r="V20" s="57" t="s">
        <v>38</v>
      </c>
      <c r="W20" s="68"/>
    </row>
    <row r="21" spans="1:23" ht="15.75" thickBot="1" x14ac:dyDescent="0.3">
      <c r="A21" s="62"/>
      <c r="B21" s="62"/>
      <c r="C21" s="62"/>
      <c r="D21" s="83">
        <v>1.1000000000000001</v>
      </c>
      <c r="E21" s="84"/>
      <c r="F21" s="80">
        <v>0.27</v>
      </c>
      <c r="G21" s="80">
        <v>0.25</v>
      </c>
      <c r="H21" s="80">
        <v>0.21</v>
      </c>
      <c r="I21" s="80">
        <v>0.2</v>
      </c>
      <c r="J21" s="80">
        <v>0.17</v>
      </c>
      <c r="K21" s="80">
        <v>0.14000000000000001</v>
      </c>
      <c r="L21" s="80">
        <v>0.12</v>
      </c>
      <c r="P21" s="76" t="str">
        <f>V$19 &amp; V18</f>
        <v>RettlinjeVenstrekurve</v>
      </c>
      <c r="Q21" s="77" t="s">
        <v>55</v>
      </c>
      <c r="R21" s="85"/>
      <c r="S21" s="85"/>
      <c r="T21" s="62" t="str">
        <f>""</f>
        <v/>
      </c>
      <c r="U21" s="57"/>
      <c r="V21" s="58"/>
      <c r="W21" s="68"/>
    </row>
    <row r="22" spans="1:23" ht="15.75" thickBot="1" x14ac:dyDescent="0.3">
      <c r="A22" s="62"/>
      <c r="B22" s="62"/>
      <c r="C22" s="62"/>
      <c r="D22" s="86">
        <v>1.25</v>
      </c>
      <c r="E22" s="84"/>
      <c r="F22" s="80">
        <v>0.24</v>
      </c>
      <c r="G22" s="80">
        <v>0.22</v>
      </c>
      <c r="H22" s="80">
        <v>0.19</v>
      </c>
      <c r="I22" s="80">
        <v>0.17</v>
      </c>
      <c r="J22" s="80">
        <v>0.15</v>
      </c>
      <c r="K22" s="80">
        <v>0.12</v>
      </c>
      <c r="L22" s="80">
        <v>0.1</v>
      </c>
      <c r="P22" s="76" t="str">
        <f>V$19 &amp; V19</f>
        <v>RettlinjeRettlinje</v>
      </c>
      <c r="Q22" s="77" t="s">
        <v>55</v>
      </c>
      <c r="R22" s="85"/>
      <c r="S22" s="85"/>
      <c r="T22" s="62" t="str">
        <f>""</f>
        <v/>
      </c>
      <c r="U22" s="57"/>
      <c r="V22" s="58"/>
      <c r="W22" s="68"/>
    </row>
    <row r="23" spans="1:23" ht="15.75" thickBot="1" x14ac:dyDescent="0.3">
      <c r="A23" s="62"/>
      <c r="B23" s="62"/>
      <c r="C23" s="62"/>
      <c r="D23" s="87">
        <v>1.5</v>
      </c>
      <c r="E23" s="84"/>
      <c r="F23" s="80">
        <v>0.2</v>
      </c>
      <c r="G23" s="80">
        <v>0.18</v>
      </c>
      <c r="H23" s="80">
        <v>0.15</v>
      </c>
      <c r="I23" s="80">
        <v>0.15</v>
      </c>
      <c r="J23" s="80">
        <v>0.12</v>
      </c>
      <c r="K23" s="80">
        <v>0.1</v>
      </c>
      <c r="L23" s="80">
        <v>0.09</v>
      </c>
      <c r="P23" s="76" t="str">
        <f>V$19 &amp; V20</f>
        <v>RettlinjeHøyrekurve</v>
      </c>
      <c r="Q23" s="77" t="s">
        <v>54</v>
      </c>
      <c r="R23" s="78">
        <f>Påkjøringsrampe!$E$74*Påkjøringsrampe!$D$16*'PR-formler'!$P$35/(3.6*Påkjøringsrampe!$E$75)</f>
        <v>21.083333333333332</v>
      </c>
      <c r="S23" s="78">
        <f>SQRT($R$23*(1/((1/Påkjøringsrampe!$D$6))))</f>
        <v>32.467932897963593</v>
      </c>
      <c r="T23" s="62" t="str">
        <f>IF('PR-formler'!$P$36&lt;0,"Overhøyde på rampe må være større enn eller lik overhøyde primærveg","")</f>
        <v/>
      </c>
      <c r="U23" s="57"/>
      <c r="V23" s="58"/>
      <c r="W23" s="68"/>
    </row>
    <row r="24" spans="1:23" ht="15.75" thickBot="1" x14ac:dyDescent="0.3">
      <c r="A24" s="62"/>
      <c r="B24" s="62"/>
      <c r="C24" s="62"/>
      <c r="D24" s="87">
        <v>1.75</v>
      </c>
      <c r="E24" s="84"/>
      <c r="F24" s="80">
        <v>0.17</v>
      </c>
      <c r="G24" s="80">
        <v>0.15</v>
      </c>
      <c r="H24" s="80">
        <v>0.13</v>
      </c>
      <c r="I24" s="80">
        <v>0.12</v>
      </c>
      <c r="J24" s="80">
        <v>0.11</v>
      </c>
      <c r="K24" s="80">
        <v>0.09</v>
      </c>
      <c r="L24" s="80">
        <v>7.0000000000000007E-2</v>
      </c>
      <c r="P24" s="76" t="str">
        <f>V$20 &amp; V18</f>
        <v>HøyrekurveVenstrekurve</v>
      </c>
      <c r="Q24" s="77" t="s">
        <v>55</v>
      </c>
      <c r="R24" s="85"/>
      <c r="S24" s="85"/>
      <c r="T24" s="62" t="str">
        <f>""</f>
        <v/>
      </c>
      <c r="U24" s="57"/>
      <c r="V24" s="58"/>
      <c r="W24" s="68"/>
    </row>
    <row r="25" spans="1:23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P25" s="76" t="str">
        <f>V$20 &amp; V19</f>
        <v>HøyrekurveRettlinje</v>
      </c>
      <c r="Q25" s="77" t="s">
        <v>55</v>
      </c>
      <c r="R25" s="85"/>
      <c r="S25" s="85"/>
      <c r="T25" s="62" t="str">
        <f>""</f>
        <v/>
      </c>
      <c r="U25" s="57"/>
      <c r="V25" s="58"/>
      <c r="W25" s="68"/>
    </row>
    <row r="26" spans="1:23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P26" s="76" t="str">
        <f>V$20 &amp; V20</f>
        <v>HøyrekurveHøyrekurve</v>
      </c>
      <c r="Q26" s="62" t="str">
        <f>IF(Påkjøringsrampe!D6&lt;Påkjøringsrampe!D11,"Gyldig","Ikke gyldig kurvekombinasjon")</f>
        <v>Gyldig</v>
      </c>
      <c r="R26" s="78">
        <f>Påkjøringsrampe!$E$74*Påkjøringsrampe!$D$16*'PR-formler'!$P$35/(3.6*Påkjøringsrampe!$E$75)</f>
        <v>21.083333333333332</v>
      </c>
      <c r="S26" s="78">
        <f>SQRT($R$26*(1/((1/Påkjøringsrampe!$D$6)-(1/Påkjøringsrampe!$D$11))))</f>
        <v>34.224206291692084</v>
      </c>
      <c r="T26" s="62" t="str">
        <f>IF('PR-formler'!$P$36&lt;0,"Overhøyde på rampe må være større enn eller lik overhøyde primærveg","")</f>
        <v/>
      </c>
      <c r="U26" s="57"/>
      <c r="V26" s="58"/>
      <c r="W26" s="68"/>
    </row>
    <row r="27" spans="1:23" ht="15.75" thickBot="1" x14ac:dyDescent="0.3">
      <c r="A27" s="62"/>
      <c r="B27" s="71"/>
      <c r="C27" s="88"/>
      <c r="D27" s="89"/>
      <c r="E27" s="62"/>
      <c r="F27" s="62"/>
      <c r="G27" s="62"/>
      <c r="H27" s="62"/>
      <c r="I27" s="62"/>
      <c r="J27" s="62"/>
      <c r="P27" s="90" t="s">
        <v>57</v>
      </c>
      <c r="Q27" s="91" t="str">
        <f>VLOOKUP(Påkjøringsrampe!$C$10&amp;Påkjøringsrampe!$C$5,$P$17:$Q$26,2,FALSE)</f>
        <v>Gyldig</v>
      </c>
      <c r="R27" s="92">
        <f>VLOOKUP(Påkjøringsrampe!$C$10&amp;Påkjøringsrampe!$C$5,$P$17:$U$26,3,FALSE)</f>
        <v>21.083333333333332</v>
      </c>
      <c r="S27" s="92">
        <f>VLOOKUP(Påkjøringsrampe!$C$10&amp;Påkjøringsrampe!$C$5,$P$17:$U$26,4,FALSE)</f>
        <v>34.224206291692084</v>
      </c>
      <c r="T27" s="92" t="str">
        <f>VLOOKUP(Påkjøringsrampe!$C$10&amp;Påkjøringsrampe!$C$5,$P$17:$U$26,5,FALSE)</f>
        <v/>
      </c>
      <c r="U27" s="57"/>
      <c r="V27" s="58"/>
      <c r="W27" s="68"/>
    </row>
    <row r="28" spans="1:23" ht="15.75" thickTop="1" x14ac:dyDescent="0.25">
      <c r="H28" s="62"/>
      <c r="I28" s="62"/>
      <c r="J28" s="62"/>
      <c r="P28" s="67"/>
      <c r="Q28" s="58"/>
      <c r="R28" s="58"/>
      <c r="S28" s="58"/>
      <c r="T28" s="58"/>
      <c r="U28" s="58"/>
      <c r="V28" s="58"/>
      <c r="W28" s="68"/>
    </row>
    <row r="29" spans="1:23" ht="21" x14ac:dyDescent="0.35">
      <c r="A29" s="93" t="s">
        <v>15</v>
      </c>
      <c r="H29" s="62"/>
      <c r="I29" s="62"/>
      <c r="J29" s="62"/>
      <c r="P29" s="94"/>
      <c r="Q29" s="95"/>
      <c r="R29" s="95"/>
      <c r="S29" s="95"/>
      <c r="T29" s="95"/>
      <c r="U29" s="95"/>
      <c r="V29" s="95"/>
      <c r="W29" s="96"/>
    </row>
    <row r="30" spans="1:23" x14ac:dyDescent="0.25">
      <c r="A30" s="97" t="s">
        <v>16</v>
      </c>
      <c r="B30" s="98"/>
      <c r="C30" s="98"/>
      <c r="D30" s="98"/>
      <c r="E30" s="98"/>
      <c r="F30" s="99"/>
      <c r="H30" s="62"/>
      <c r="I30" s="62"/>
      <c r="J30" s="62"/>
    </row>
    <row r="31" spans="1:23" ht="15.75" x14ac:dyDescent="0.25">
      <c r="A31" s="100"/>
      <c r="B31" s="57"/>
      <c r="C31" s="57"/>
      <c r="D31" s="57"/>
      <c r="E31" s="57"/>
      <c r="F31" s="101"/>
      <c r="H31" s="88"/>
      <c r="I31" s="89"/>
      <c r="J31" s="62"/>
      <c r="Q31" s="78"/>
    </row>
    <row r="32" spans="1:23" x14ac:dyDescent="0.25">
      <c r="A32" s="67"/>
      <c r="B32" s="57"/>
      <c r="C32" s="57"/>
      <c r="D32" s="57"/>
      <c r="E32" s="57"/>
      <c r="F32" s="101"/>
      <c r="G32" s="102"/>
      <c r="H32" s="62"/>
      <c r="I32" s="62"/>
      <c r="J32" s="62"/>
      <c r="P32" s="103">
        <f>Påkjøringsrampe!D13/100</f>
        <v>-0.03</v>
      </c>
      <c r="Q32" s="26" t="s">
        <v>90</v>
      </c>
    </row>
    <row r="33" spans="1:19" x14ac:dyDescent="0.25">
      <c r="A33" s="67"/>
      <c r="B33" s="57"/>
      <c r="C33" s="57"/>
      <c r="D33" s="57"/>
      <c r="E33" s="57"/>
      <c r="F33" s="101"/>
      <c r="H33" s="62"/>
      <c r="I33" s="62"/>
      <c r="J33" s="62"/>
      <c r="P33" s="103">
        <f>Påkjøringsrampe!D12/100</f>
        <v>-0.03</v>
      </c>
      <c r="Q33" s="26" t="s">
        <v>91</v>
      </c>
    </row>
    <row r="34" spans="1:19" ht="18" x14ac:dyDescent="0.35">
      <c r="A34" s="67" t="s">
        <v>17</v>
      </c>
      <c r="B34" s="57"/>
      <c r="C34" s="57"/>
      <c r="D34" s="57"/>
      <c r="E34" s="57"/>
      <c r="F34" s="101"/>
      <c r="H34" s="62"/>
      <c r="I34" s="62"/>
      <c r="J34" s="62"/>
      <c r="P34" s="103">
        <f>Påkjøringsrampe!D7/100</f>
        <v>-0.08</v>
      </c>
      <c r="Q34" s="26" t="s">
        <v>92</v>
      </c>
      <c r="S34" s="58"/>
    </row>
    <row r="35" spans="1:19" ht="18" x14ac:dyDescent="0.35">
      <c r="A35" s="94"/>
      <c r="B35" s="104" t="s">
        <v>14</v>
      </c>
      <c r="C35" s="104"/>
      <c r="D35" s="104"/>
      <c r="E35" s="104"/>
      <c r="F35" s="105"/>
      <c r="H35" s="62"/>
      <c r="I35" s="62"/>
      <c r="J35" s="62"/>
      <c r="P35" s="1">
        <f>('PR-formler'!$P$33-'PR-formler'!$P$34)</f>
        <v>0.05</v>
      </c>
      <c r="Q35" s="26" t="s">
        <v>63</v>
      </c>
      <c r="R35" s="58"/>
      <c r="S35" s="58"/>
    </row>
    <row r="36" spans="1:19" ht="18" x14ac:dyDescent="0.35">
      <c r="A36" s="62"/>
      <c r="B36" s="62"/>
      <c r="C36" s="62"/>
      <c r="D36" s="62"/>
      <c r="E36" s="62"/>
      <c r="F36" s="62"/>
      <c r="G36" s="62"/>
      <c r="H36" s="62"/>
      <c r="I36" s="62"/>
      <c r="J36" s="62"/>
      <c r="P36" s="1">
        <f>('PR-formler'!P32-'PR-formler'!P33)</f>
        <v>0</v>
      </c>
      <c r="Q36" s="26" t="s">
        <v>82</v>
      </c>
    </row>
    <row r="37" spans="1:19" x14ac:dyDescent="0.25">
      <c r="A37" s="106" t="s">
        <v>18</v>
      </c>
      <c r="B37" s="107"/>
      <c r="C37" s="62"/>
      <c r="D37" s="62"/>
      <c r="E37" s="62"/>
      <c r="F37" s="62"/>
      <c r="G37" s="62"/>
    </row>
    <row r="38" spans="1:19" x14ac:dyDescent="0.25">
      <c r="A38" s="108"/>
      <c r="B38" s="109"/>
      <c r="C38" s="62"/>
      <c r="D38" s="62"/>
      <c r="E38" s="62"/>
      <c r="F38" s="62"/>
      <c r="G38" s="62"/>
    </row>
    <row r="39" spans="1:19" x14ac:dyDescent="0.25">
      <c r="A39" s="108"/>
      <c r="B39" s="109"/>
      <c r="C39" s="62"/>
      <c r="D39" s="62"/>
      <c r="E39" s="62"/>
      <c r="F39" s="62"/>
      <c r="G39" s="62"/>
    </row>
    <row r="40" spans="1:19" x14ac:dyDescent="0.25">
      <c r="A40" s="110"/>
      <c r="B40" s="111"/>
      <c r="C40" s="62"/>
      <c r="D40" s="62"/>
      <c r="E40" s="62"/>
      <c r="F40" s="62"/>
      <c r="G40" s="62"/>
    </row>
    <row r="41" spans="1:19" x14ac:dyDescent="0.25">
      <c r="A41" s="62"/>
      <c r="B41" s="62"/>
      <c r="C41" s="62"/>
      <c r="D41" s="62"/>
      <c r="E41" s="62"/>
      <c r="F41" s="62"/>
      <c r="G41" s="62"/>
    </row>
    <row r="42" spans="1:19" x14ac:dyDescent="0.25">
      <c r="A42" s="62"/>
      <c r="B42" s="62"/>
      <c r="C42" s="62"/>
      <c r="D42" s="62"/>
      <c r="E42" s="62"/>
      <c r="F42" s="62"/>
      <c r="G42" s="62"/>
    </row>
    <row r="43" spans="1:19" x14ac:dyDescent="0.25">
      <c r="A43" s="62"/>
      <c r="B43" s="62"/>
      <c r="C43" s="62"/>
      <c r="D43" s="62"/>
      <c r="E43" s="62"/>
      <c r="F43" s="62"/>
      <c r="G43" s="62"/>
    </row>
  </sheetData>
  <sheetProtection password="E863" sheet="1" objects="1" scenarios="1"/>
  <customSheetViews>
    <customSheetView guid="{EDBC3D34-AE76-4315-8D9E-9D233B1D13BE}" scale="85" state="hidden" topLeftCell="E1">
      <selection activeCell="L40" sqref="L40"/>
    </customSheetView>
  </customSheetViews>
  <mergeCells count="1">
    <mergeCell ref="E17:L17"/>
  </mergeCells>
  <dataValidations count="2">
    <dataValidation type="decimal" allowBlank="1" showInputMessage="1" showErrorMessage="1" sqref="P32:P33">
      <formula1>-0.1</formula1>
      <formula2>0.1</formula2>
    </dataValidation>
    <dataValidation type="decimal" allowBlank="1" showInputMessage="1" showErrorMessage="1" sqref="P34">
      <formula1>-0.15</formula1>
      <formula2>0.15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14" sqref="D14"/>
    </sheetView>
  </sheetViews>
  <sheetFormatPr baseColWidth="10" defaultRowHeight="15" x14ac:dyDescent="0.25"/>
  <sheetData>
    <row r="1" spans="1:9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9" x14ac:dyDescent="0.25">
      <c r="A2" s="160" t="s">
        <v>133</v>
      </c>
      <c r="B2" s="161"/>
      <c r="C2" s="162" t="s">
        <v>147</v>
      </c>
      <c r="D2" s="159"/>
      <c r="E2" s="160" t="s">
        <v>134</v>
      </c>
      <c r="F2" s="161"/>
      <c r="G2" s="162" t="s">
        <v>148</v>
      </c>
      <c r="H2" s="161"/>
      <c r="I2" s="159"/>
    </row>
    <row r="3" spans="1:9" x14ac:dyDescent="0.25">
      <c r="A3" s="159"/>
      <c r="B3" s="159"/>
      <c r="C3" s="159"/>
      <c r="D3" s="159"/>
      <c r="E3" s="159"/>
      <c r="F3" s="159"/>
      <c r="G3" s="159"/>
      <c r="H3" s="159"/>
      <c r="I3" s="159"/>
    </row>
    <row r="4" spans="1:9" x14ac:dyDescent="0.25">
      <c r="A4" s="159"/>
      <c r="B4" s="159"/>
      <c r="C4" s="159"/>
      <c r="D4" s="159"/>
      <c r="E4" s="159"/>
      <c r="F4" s="159"/>
      <c r="G4" s="159"/>
      <c r="H4" s="159"/>
      <c r="I4" s="159"/>
    </row>
    <row r="5" spans="1:9" x14ac:dyDescent="0.25">
      <c r="A5" s="160" t="s">
        <v>132</v>
      </c>
      <c r="B5" s="161"/>
      <c r="C5" s="161"/>
      <c r="D5" s="161"/>
      <c r="E5" s="161"/>
      <c r="F5" s="161"/>
      <c r="G5" s="159"/>
      <c r="H5" s="161"/>
      <c r="I5" s="159"/>
    </row>
    <row r="6" spans="1:9" x14ac:dyDescent="0.25">
      <c r="A6" s="163" t="s">
        <v>135</v>
      </c>
      <c r="B6" s="160" t="s">
        <v>136</v>
      </c>
      <c r="C6" s="160" t="s">
        <v>137</v>
      </c>
      <c r="D6" s="160"/>
      <c r="E6" s="161"/>
      <c r="F6" s="161"/>
      <c r="G6" s="160" t="s">
        <v>138</v>
      </c>
      <c r="H6" s="161"/>
      <c r="I6" s="161"/>
    </row>
    <row r="7" spans="1:9" x14ac:dyDescent="0.25">
      <c r="A7" s="157">
        <v>0.1</v>
      </c>
      <c r="B7" s="157" t="s">
        <v>141</v>
      </c>
      <c r="C7" s="157" t="s">
        <v>142</v>
      </c>
      <c r="D7" s="157"/>
      <c r="E7" s="157"/>
      <c r="F7" s="157"/>
      <c r="G7" s="157" t="s">
        <v>143</v>
      </c>
      <c r="H7" s="157"/>
      <c r="I7" s="157"/>
    </row>
    <row r="8" spans="1:9" x14ac:dyDescent="0.25">
      <c r="A8" s="164">
        <v>0.2</v>
      </c>
      <c r="B8" s="157" t="s">
        <v>144</v>
      </c>
      <c r="C8" s="157" t="s">
        <v>145</v>
      </c>
      <c r="D8" s="164"/>
      <c r="E8" s="157"/>
      <c r="F8" s="157"/>
      <c r="G8" s="157" t="s">
        <v>146</v>
      </c>
      <c r="H8" s="164"/>
      <c r="I8" s="164"/>
    </row>
    <row r="9" spans="1:9" x14ac:dyDescent="0.25">
      <c r="A9" s="164" t="s">
        <v>147</v>
      </c>
      <c r="B9" s="157" t="s">
        <v>148</v>
      </c>
      <c r="C9" s="157" t="s">
        <v>140</v>
      </c>
      <c r="D9" s="164"/>
      <c r="E9" s="157"/>
      <c r="F9" s="157"/>
      <c r="G9" s="157" t="s">
        <v>139</v>
      </c>
      <c r="H9" s="164"/>
      <c r="I9" s="164"/>
    </row>
    <row r="10" spans="1:9" x14ac:dyDescent="0.25">
      <c r="A10" s="164"/>
      <c r="B10" s="164"/>
      <c r="C10" s="164"/>
      <c r="D10" s="164"/>
      <c r="E10" s="164"/>
      <c r="F10" s="164"/>
      <c r="G10" s="164"/>
      <c r="H10" s="164"/>
      <c r="I10" s="164"/>
    </row>
    <row r="11" spans="1:9" x14ac:dyDescent="0.25">
      <c r="A11" s="164"/>
      <c r="B11" s="164"/>
      <c r="C11" s="164"/>
      <c r="D11" s="164"/>
      <c r="E11" s="164"/>
      <c r="F11" s="164"/>
      <c r="G11" s="164"/>
      <c r="H11" s="164"/>
      <c r="I11" s="164"/>
    </row>
    <row r="12" spans="1:9" x14ac:dyDescent="0.25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x14ac:dyDescent="0.25">
      <c r="A13" s="164"/>
      <c r="B13" s="164"/>
      <c r="C13" s="164"/>
      <c r="D13" s="164"/>
      <c r="E13" s="164"/>
      <c r="F13" s="164"/>
      <c r="G13" s="164"/>
      <c r="H13" s="164"/>
      <c r="I13" s="164"/>
    </row>
    <row r="14" spans="1:9" x14ac:dyDescent="0.25">
      <c r="A14" s="164"/>
      <c r="B14" s="164"/>
      <c r="C14" s="164"/>
      <c r="D14" s="164"/>
      <c r="E14" s="164"/>
      <c r="F14" s="164"/>
      <c r="G14" s="164"/>
      <c r="H14" s="164"/>
      <c r="I14" s="164"/>
    </row>
    <row r="15" spans="1:9" x14ac:dyDescent="0.2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x14ac:dyDescent="0.25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x14ac:dyDescent="0.25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 x14ac:dyDescent="0.25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x14ac:dyDescent="0.25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 x14ac:dyDescent="0.25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 x14ac:dyDescent="0.25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x14ac:dyDescent="0.25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 x14ac:dyDescent="0.25">
      <c r="A23" s="164"/>
      <c r="B23" s="164"/>
      <c r="C23" s="164"/>
      <c r="D23" s="164"/>
      <c r="E23" s="164"/>
      <c r="F23" s="164"/>
      <c r="G23" s="164"/>
      <c r="H23" s="164"/>
      <c r="I23" s="164"/>
    </row>
    <row r="24" spans="1:9" x14ac:dyDescent="0.25">
      <c r="A24" s="164"/>
      <c r="B24" s="164"/>
      <c r="C24" s="164"/>
      <c r="D24" s="164"/>
      <c r="E24" s="164"/>
      <c r="F24" s="164"/>
      <c r="G24" s="164"/>
      <c r="H24" s="164"/>
      <c r="I24" s="164"/>
    </row>
    <row r="25" spans="1:9" x14ac:dyDescent="0.25">
      <c r="A25" s="164"/>
      <c r="B25" s="164"/>
      <c r="C25" s="164"/>
      <c r="D25" s="164"/>
      <c r="E25" s="164"/>
      <c r="F25" s="164"/>
      <c r="G25" s="164"/>
      <c r="H25" s="164"/>
      <c r="I25" s="164"/>
    </row>
    <row r="26" spans="1:9" x14ac:dyDescent="0.25">
      <c r="A26" s="164"/>
      <c r="B26" s="164"/>
      <c r="C26" s="164"/>
      <c r="D26" s="164"/>
      <c r="E26" s="164"/>
      <c r="F26" s="164"/>
      <c r="G26" s="164"/>
      <c r="H26" s="164"/>
      <c r="I26" s="164"/>
    </row>
    <row r="27" spans="1:9" x14ac:dyDescent="0.25">
      <c r="A27" s="164"/>
      <c r="B27" s="164"/>
      <c r="C27" s="164"/>
      <c r="D27" s="164"/>
      <c r="E27" s="164"/>
      <c r="F27" s="164"/>
      <c r="G27" s="164"/>
      <c r="H27" s="164"/>
      <c r="I27" s="164"/>
    </row>
    <row r="28" spans="1:9" x14ac:dyDescent="0.25">
      <c r="A28" s="164"/>
      <c r="B28" s="164"/>
      <c r="C28" s="164"/>
      <c r="D28" s="164"/>
      <c r="E28" s="164"/>
      <c r="F28" s="164"/>
      <c r="G28" s="164"/>
      <c r="H28" s="164"/>
      <c r="I28" s="164"/>
    </row>
    <row r="29" spans="1:9" x14ac:dyDescent="0.25">
      <c r="A29" s="164"/>
      <c r="B29" s="164"/>
      <c r="C29" s="164"/>
      <c r="D29" s="164"/>
      <c r="E29" s="164"/>
      <c r="F29" s="164"/>
      <c r="G29" s="164"/>
      <c r="H29" s="164"/>
      <c r="I29" s="164"/>
    </row>
    <row r="30" spans="1:9" x14ac:dyDescent="0.25">
      <c r="A30" s="164"/>
      <c r="B30" s="164"/>
      <c r="C30" s="164"/>
      <c r="D30" s="164"/>
      <c r="E30" s="164"/>
      <c r="F30" s="164"/>
      <c r="G30" s="164"/>
      <c r="H30" s="164"/>
      <c r="I30" s="164"/>
    </row>
  </sheetData>
  <sheetProtection password="E863" sheet="1" objects="1" scenarios="1" selectLockedCells="1" selectUnlockedCells="1"/>
  <customSheetViews>
    <customSheetView guid="{EDBC3D34-AE76-4315-8D9E-9D233B1D13BE}" state="hidden">
      <selection activeCell="D14" sqref="D14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Avkjøringsrampe</vt:lpstr>
      <vt:lpstr>Påkjøringsrampe</vt:lpstr>
      <vt:lpstr>AR-formler</vt:lpstr>
      <vt:lpstr>PR-formler</vt:lpstr>
      <vt:lpstr>Versjoner</vt:lpstr>
      <vt:lpstr>'AR-formler'!Utskriftsområde</vt:lpstr>
      <vt:lpstr>Avkjøringsrampe!Utskriftsområde</vt:lpstr>
      <vt:lpstr>'PR-formler'!Utskriftsområde</vt:lpstr>
      <vt:lpstr>Påkjøringsrampe!Utskriftsområde</vt:lpstr>
    </vt:vector>
  </TitlesOfParts>
  <Company>Statens vegvesen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Ryeng Torstein</dc:creator>
  <cp:lastModifiedBy>Torstein Ryeng</cp:lastModifiedBy>
  <cp:lastPrinted>2012-09-05T08:00:30Z</cp:lastPrinted>
  <dcterms:created xsi:type="dcterms:W3CDTF">2011-11-30T14:02:41Z</dcterms:created>
  <dcterms:modified xsi:type="dcterms:W3CDTF">2013-01-07T10:33:26Z</dcterms:modified>
</cp:coreProperties>
</file>